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Web Basedocs\Outbox\"/>
    </mc:Choice>
  </mc:AlternateContent>
  <xr:revisionPtr revIDLastSave="0" documentId="13_ncr:9_{D7EF4DE4-3AA2-4D7C-B124-04E45F9F2FDF}" xr6:coauthVersionLast="47" xr6:coauthVersionMax="47" xr10:uidLastSave="{00000000-0000-0000-0000-000000000000}"/>
  <bookViews>
    <workbookView xWindow="0" yWindow="708" windowWidth="23100" windowHeight="12252" xr2:uid="{AB808FF3-13D3-4098-9920-B61AE75F78C6}"/>
  </bookViews>
  <sheets>
    <sheet name="Pharmacy_Provider_Directory" sheetId="1" r:id="rId1"/>
  </sheets>
  <definedNames>
    <definedName name="_xlnm._FilterDatabase" localSheetId="0" hidden="1">Pharmacy_Provider_Directory!$A$1:$I$1</definedName>
  </definedNames>
  <calcPr calcId="0"/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I2" i="1"/>
  <c r="A3" i="1"/>
  <c r="B3" i="1"/>
  <c r="C3" i="1"/>
  <c r="D3" i="1"/>
  <c r="E3" i="1"/>
  <c r="F3" i="1"/>
  <c r="G3" i="1"/>
  <c r="H3" i="1"/>
  <c r="I3" i="1"/>
  <c r="A4" i="1"/>
  <c r="B4" i="1"/>
  <c r="C4" i="1"/>
  <c r="D4" i="1"/>
  <c r="E4" i="1"/>
  <c r="F4" i="1"/>
  <c r="G4" i="1"/>
  <c r="H4" i="1"/>
  <c r="I4" i="1"/>
  <c r="A5" i="1"/>
  <c r="B5" i="1"/>
  <c r="C5" i="1"/>
  <c r="D5" i="1"/>
  <c r="E5" i="1"/>
  <c r="F5" i="1"/>
  <c r="G5" i="1"/>
  <c r="H5" i="1"/>
  <c r="I5" i="1"/>
  <c r="A6" i="1"/>
  <c r="B6" i="1"/>
  <c r="C6" i="1"/>
  <c r="D6" i="1"/>
  <c r="E6" i="1"/>
  <c r="F6" i="1"/>
  <c r="G6" i="1"/>
  <c r="H6" i="1"/>
  <c r="I6" i="1"/>
  <c r="A7" i="1"/>
  <c r="B7" i="1"/>
  <c r="C7" i="1"/>
  <c r="D7" i="1"/>
  <c r="E7" i="1"/>
  <c r="F7" i="1"/>
  <c r="G7" i="1"/>
  <c r="H7" i="1"/>
  <c r="I7" i="1"/>
  <c r="A8" i="1"/>
  <c r="B8" i="1"/>
  <c r="C8" i="1"/>
  <c r="D8" i="1"/>
  <c r="E8" i="1"/>
  <c r="F8" i="1"/>
  <c r="G8" i="1"/>
  <c r="H8" i="1"/>
  <c r="I8" i="1"/>
  <c r="A9" i="1"/>
  <c r="B9" i="1"/>
  <c r="C9" i="1"/>
  <c r="D9" i="1"/>
  <c r="E9" i="1"/>
  <c r="F9" i="1"/>
  <c r="G9" i="1"/>
  <c r="H9" i="1"/>
  <c r="I9" i="1"/>
  <c r="A10" i="1"/>
  <c r="B10" i="1"/>
  <c r="C10" i="1"/>
  <c r="D10" i="1"/>
  <c r="E10" i="1"/>
  <c r="F10" i="1"/>
  <c r="G10" i="1"/>
  <c r="H10" i="1"/>
  <c r="I10" i="1"/>
  <c r="A11" i="1"/>
  <c r="B11" i="1"/>
  <c r="C11" i="1"/>
  <c r="D11" i="1"/>
  <c r="E11" i="1"/>
  <c r="F11" i="1"/>
  <c r="G11" i="1"/>
  <c r="H11" i="1"/>
  <c r="I11" i="1"/>
  <c r="A12" i="1"/>
  <c r="B12" i="1"/>
  <c r="C12" i="1"/>
  <c r="D12" i="1"/>
  <c r="E12" i="1"/>
  <c r="F12" i="1"/>
  <c r="G12" i="1"/>
  <c r="H12" i="1"/>
  <c r="I12" i="1"/>
  <c r="A13" i="1"/>
  <c r="B13" i="1"/>
  <c r="C13" i="1"/>
  <c r="D13" i="1"/>
  <c r="E13" i="1"/>
  <c r="F13" i="1"/>
  <c r="G13" i="1"/>
  <c r="H13" i="1"/>
  <c r="I13" i="1"/>
  <c r="A14" i="1"/>
  <c r="B14" i="1"/>
  <c r="C14" i="1"/>
  <c r="D14" i="1"/>
  <c r="E14" i="1"/>
  <c r="F14" i="1"/>
  <c r="G14" i="1"/>
  <c r="H14" i="1"/>
  <c r="I14" i="1"/>
  <c r="A15" i="1"/>
  <c r="B15" i="1"/>
  <c r="C15" i="1"/>
  <c r="D15" i="1"/>
  <c r="E15" i="1"/>
  <c r="F15" i="1"/>
  <c r="G15" i="1"/>
  <c r="H15" i="1"/>
  <c r="I15" i="1"/>
  <c r="A16" i="1"/>
  <c r="B16" i="1"/>
  <c r="C16" i="1"/>
  <c r="D16" i="1"/>
  <c r="E16" i="1"/>
  <c r="F16" i="1"/>
  <c r="G16" i="1"/>
  <c r="H16" i="1"/>
  <c r="I16" i="1"/>
  <c r="A17" i="1"/>
  <c r="B17" i="1"/>
  <c r="C17" i="1"/>
  <c r="D17" i="1"/>
  <c r="E17" i="1"/>
  <c r="F17" i="1"/>
  <c r="G17" i="1"/>
  <c r="H17" i="1"/>
  <c r="I17" i="1"/>
  <c r="A18" i="1"/>
  <c r="B18" i="1"/>
  <c r="C18" i="1"/>
  <c r="D18" i="1"/>
  <c r="E18" i="1"/>
  <c r="F18" i="1"/>
  <c r="G18" i="1"/>
  <c r="H18" i="1"/>
  <c r="I18" i="1"/>
  <c r="A19" i="1"/>
  <c r="B19" i="1"/>
  <c r="C19" i="1"/>
  <c r="D19" i="1"/>
  <c r="E19" i="1"/>
  <c r="F19" i="1"/>
  <c r="G19" i="1"/>
  <c r="H19" i="1"/>
  <c r="I19" i="1"/>
  <c r="A20" i="1"/>
  <c r="B20" i="1"/>
  <c r="C20" i="1"/>
  <c r="D20" i="1"/>
  <c r="E20" i="1"/>
  <c r="F20" i="1"/>
  <c r="G20" i="1"/>
  <c r="H20" i="1"/>
  <c r="I20" i="1"/>
  <c r="A21" i="1"/>
  <c r="B21" i="1"/>
  <c r="C21" i="1"/>
  <c r="D21" i="1"/>
  <c r="E21" i="1"/>
  <c r="F21" i="1"/>
  <c r="G21" i="1"/>
  <c r="H21" i="1"/>
  <c r="I21" i="1"/>
  <c r="A22" i="1"/>
  <c r="B22" i="1"/>
  <c r="C22" i="1"/>
  <c r="D22" i="1"/>
  <c r="E22" i="1"/>
  <c r="F22" i="1"/>
  <c r="G22" i="1"/>
  <c r="H22" i="1"/>
  <c r="I22" i="1"/>
  <c r="A23" i="1"/>
  <c r="B23" i="1"/>
  <c r="C23" i="1"/>
  <c r="D23" i="1"/>
  <c r="E23" i="1"/>
  <c r="F23" i="1"/>
  <c r="G23" i="1"/>
  <c r="H23" i="1"/>
  <c r="I23" i="1"/>
  <c r="A24" i="1"/>
  <c r="B24" i="1"/>
  <c r="C24" i="1"/>
  <c r="D24" i="1"/>
  <c r="E24" i="1"/>
  <c r="F24" i="1"/>
  <c r="G24" i="1"/>
  <c r="H24" i="1"/>
  <c r="I24" i="1"/>
  <c r="A25" i="1"/>
  <c r="B25" i="1"/>
  <c r="C25" i="1"/>
  <c r="D25" i="1"/>
  <c r="E25" i="1"/>
  <c r="F25" i="1"/>
  <c r="G25" i="1"/>
  <c r="H25" i="1"/>
  <c r="I25" i="1"/>
  <c r="A26" i="1"/>
  <c r="B26" i="1"/>
  <c r="C26" i="1"/>
  <c r="D26" i="1"/>
  <c r="E26" i="1"/>
  <c r="F26" i="1"/>
  <c r="G26" i="1"/>
  <c r="H26" i="1"/>
  <c r="I26" i="1"/>
  <c r="A27" i="1"/>
  <c r="B27" i="1"/>
  <c r="C27" i="1"/>
  <c r="D27" i="1"/>
  <c r="E27" i="1"/>
  <c r="F27" i="1"/>
  <c r="G27" i="1"/>
  <c r="H27" i="1"/>
  <c r="I27" i="1"/>
  <c r="A28" i="1"/>
  <c r="B28" i="1"/>
  <c r="C28" i="1"/>
  <c r="D28" i="1"/>
  <c r="E28" i="1"/>
  <c r="F28" i="1"/>
  <c r="G28" i="1"/>
  <c r="H28" i="1"/>
  <c r="I28" i="1"/>
  <c r="A29" i="1"/>
  <c r="B29" i="1"/>
  <c r="C29" i="1"/>
  <c r="D29" i="1"/>
  <c r="E29" i="1"/>
  <c r="F29" i="1"/>
  <c r="G29" i="1"/>
  <c r="H29" i="1"/>
  <c r="I29" i="1"/>
  <c r="A30" i="1"/>
  <c r="B30" i="1"/>
  <c r="C30" i="1"/>
  <c r="D30" i="1"/>
  <c r="E30" i="1"/>
  <c r="F30" i="1"/>
  <c r="G30" i="1"/>
  <c r="H30" i="1"/>
  <c r="I30" i="1"/>
  <c r="A31" i="1"/>
  <c r="B31" i="1"/>
  <c r="C31" i="1"/>
  <c r="D31" i="1"/>
  <c r="E31" i="1"/>
  <c r="F31" i="1"/>
  <c r="G31" i="1"/>
  <c r="H31" i="1"/>
  <c r="I31" i="1"/>
  <c r="A32" i="1"/>
  <c r="B32" i="1"/>
  <c r="C32" i="1"/>
  <c r="D32" i="1"/>
  <c r="E32" i="1"/>
  <c r="F32" i="1"/>
  <c r="G32" i="1"/>
  <c r="H32" i="1"/>
  <c r="I32" i="1"/>
  <c r="A33" i="1"/>
  <c r="B33" i="1"/>
  <c r="C33" i="1"/>
  <c r="D33" i="1"/>
  <c r="E33" i="1"/>
  <c r="F33" i="1"/>
  <c r="G33" i="1"/>
  <c r="H33" i="1"/>
  <c r="I33" i="1"/>
  <c r="A34" i="1"/>
  <c r="B34" i="1"/>
  <c r="C34" i="1"/>
  <c r="D34" i="1"/>
  <c r="E34" i="1"/>
  <c r="F34" i="1"/>
  <c r="G34" i="1"/>
  <c r="H34" i="1"/>
  <c r="I34" i="1"/>
  <c r="A35" i="1"/>
  <c r="B35" i="1"/>
  <c r="C35" i="1"/>
  <c r="D35" i="1"/>
  <c r="E35" i="1"/>
  <c r="F35" i="1"/>
  <c r="G35" i="1"/>
  <c r="H35" i="1"/>
  <c r="I35" i="1"/>
  <c r="A36" i="1"/>
  <c r="B36" i="1"/>
  <c r="C36" i="1"/>
  <c r="D36" i="1"/>
  <c r="E36" i="1"/>
  <c r="F36" i="1"/>
  <c r="G36" i="1"/>
  <c r="H36" i="1"/>
  <c r="I36" i="1"/>
  <c r="A37" i="1"/>
  <c r="B37" i="1"/>
  <c r="C37" i="1"/>
  <c r="D37" i="1"/>
  <c r="E37" i="1"/>
  <c r="F37" i="1"/>
  <c r="G37" i="1"/>
  <c r="H37" i="1"/>
  <c r="I37" i="1"/>
  <c r="A38" i="1"/>
  <c r="B38" i="1"/>
  <c r="C38" i="1"/>
  <c r="D38" i="1"/>
  <c r="E38" i="1"/>
  <c r="F38" i="1"/>
  <c r="G38" i="1"/>
  <c r="H38" i="1"/>
  <c r="I38" i="1"/>
  <c r="A39" i="1"/>
  <c r="B39" i="1"/>
  <c r="C39" i="1"/>
  <c r="D39" i="1"/>
  <c r="E39" i="1"/>
  <c r="F39" i="1"/>
  <c r="G39" i="1"/>
  <c r="H39" i="1"/>
  <c r="I39" i="1"/>
  <c r="A40" i="1"/>
  <c r="B40" i="1"/>
  <c r="C40" i="1"/>
  <c r="D40" i="1"/>
  <c r="E40" i="1"/>
  <c r="F40" i="1"/>
  <c r="G40" i="1"/>
  <c r="H40" i="1"/>
  <c r="I40" i="1"/>
  <c r="A41" i="1"/>
  <c r="B41" i="1"/>
  <c r="C41" i="1"/>
  <c r="D41" i="1"/>
  <c r="E41" i="1"/>
  <c r="F41" i="1"/>
  <c r="G41" i="1"/>
  <c r="H41" i="1"/>
  <c r="I41" i="1"/>
  <c r="A42" i="1"/>
  <c r="B42" i="1"/>
  <c r="C42" i="1"/>
  <c r="D42" i="1"/>
  <c r="E42" i="1"/>
  <c r="F42" i="1"/>
  <c r="G42" i="1"/>
  <c r="H42" i="1"/>
  <c r="I42" i="1"/>
  <c r="A43" i="1"/>
  <c r="B43" i="1"/>
  <c r="C43" i="1"/>
  <c r="D43" i="1"/>
  <c r="E43" i="1"/>
  <c r="F43" i="1"/>
  <c r="G43" i="1"/>
  <c r="H43" i="1"/>
  <c r="I43" i="1"/>
  <c r="A44" i="1"/>
  <c r="B44" i="1"/>
  <c r="C44" i="1"/>
  <c r="D44" i="1"/>
  <c r="E44" i="1"/>
  <c r="F44" i="1"/>
  <c r="G44" i="1"/>
  <c r="H44" i="1"/>
  <c r="I44" i="1"/>
  <c r="A45" i="1"/>
  <c r="B45" i="1"/>
  <c r="C45" i="1"/>
  <c r="D45" i="1"/>
  <c r="E45" i="1"/>
  <c r="F45" i="1"/>
  <c r="G45" i="1"/>
  <c r="H45" i="1"/>
  <c r="I45" i="1"/>
  <c r="A46" i="1"/>
  <c r="B46" i="1"/>
  <c r="C46" i="1"/>
  <c r="D46" i="1"/>
  <c r="E46" i="1"/>
  <c r="F46" i="1"/>
  <c r="G46" i="1"/>
  <c r="H46" i="1"/>
  <c r="I46" i="1"/>
  <c r="A47" i="1"/>
  <c r="B47" i="1"/>
  <c r="C47" i="1"/>
  <c r="D47" i="1"/>
  <c r="E47" i="1"/>
  <c r="F47" i="1"/>
  <c r="G47" i="1"/>
  <c r="H47" i="1"/>
  <c r="I47" i="1"/>
  <c r="A48" i="1"/>
  <c r="B48" i="1"/>
  <c r="C48" i="1"/>
  <c r="D48" i="1"/>
  <c r="E48" i="1"/>
  <c r="F48" i="1"/>
  <c r="G48" i="1"/>
  <c r="H48" i="1"/>
  <c r="I48" i="1"/>
  <c r="A49" i="1"/>
  <c r="B49" i="1"/>
  <c r="C49" i="1"/>
  <c r="D49" i="1"/>
  <c r="E49" i="1"/>
  <c r="F49" i="1"/>
  <c r="G49" i="1"/>
  <c r="H49" i="1"/>
  <c r="I49" i="1"/>
  <c r="A50" i="1"/>
  <c r="B50" i="1"/>
  <c r="C50" i="1"/>
  <c r="D50" i="1"/>
  <c r="E50" i="1"/>
  <c r="F50" i="1"/>
  <c r="G50" i="1"/>
  <c r="H50" i="1"/>
  <c r="I50" i="1"/>
  <c r="A51" i="1"/>
  <c r="B51" i="1"/>
  <c r="C51" i="1"/>
  <c r="D51" i="1"/>
  <c r="E51" i="1"/>
  <c r="F51" i="1"/>
  <c r="G51" i="1"/>
  <c r="H51" i="1"/>
  <c r="I51" i="1"/>
  <c r="A52" i="1"/>
  <c r="B52" i="1"/>
  <c r="C52" i="1"/>
  <c r="D52" i="1"/>
  <c r="E52" i="1"/>
  <c r="F52" i="1"/>
  <c r="G52" i="1"/>
  <c r="H52" i="1"/>
  <c r="I52" i="1"/>
  <c r="A53" i="1"/>
  <c r="B53" i="1"/>
  <c r="C53" i="1"/>
  <c r="D53" i="1"/>
  <c r="E53" i="1"/>
  <c r="F53" i="1"/>
  <c r="G53" i="1"/>
  <c r="H53" i="1"/>
  <c r="I53" i="1"/>
  <c r="A54" i="1"/>
  <c r="B54" i="1"/>
  <c r="C54" i="1"/>
  <c r="D54" i="1"/>
  <c r="E54" i="1"/>
  <c r="F54" i="1"/>
  <c r="G54" i="1"/>
  <c r="H54" i="1"/>
  <c r="I54" i="1"/>
  <c r="A55" i="1"/>
  <c r="B55" i="1"/>
  <c r="C55" i="1"/>
  <c r="D55" i="1"/>
  <c r="E55" i="1"/>
  <c r="F55" i="1"/>
  <c r="G55" i="1"/>
  <c r="H55" i="1"/>
  <c r="I55" i="1"/>
  <c r="A56" i="1"/>
  <c r="B56" i="1"/>
  <c r="C56" i="1"/>
  <c r="D56" i="1"/>
  <c r="E56" i="1"/>
  <c r="F56" i="1"/>
  <c r="G56" i="1"/>
  <c r="H56" i="1"/>
  <c r="I56" i="1"/>
  <c r="A57" i="1"/>
  <c r="B57" i="1"/>
  <c r="C57" i="1"/>
  <c r="D57" i="1"/>
  <c r="E57" i="1"/>
  <c r="F57" i="1"/>
  <c r="G57" i="1"/>
  <c r="H57" i="1"/>
  <c r="I57" i="1"/>
  <c r="A58" i="1"/>
  <c r="B58" i="1"/>
  <c r="C58" i="1"/>
  <c r="D58" i="1"/>
  <c r="E58" i="1"/>
  <c r="F58" i="1"/>
  <c r="G58" i="1"/>
  <c r="H58" i="1"/>
  <c r="I58" i="1"/>
  <c r="A59" i="1"/>
  <c r="B59" i="1"/>
  <c r="C59" i="1"/>
  <c r="D59" i="1"/>
  <c r="E59" i="1"/>
  <c r="F59" i="1"/>
  <c r="G59" i="1"/>
  <c r="H59" i="1"/>
  <c r="I59" i="1"/>
  <c r="A60" i="1"/>
  <c r="B60" i="1"/>
  <c r="C60" i="1"/>
  <c r="D60" i="1"/>
  <c r="E60" i="1"/>
  <c r="F60" i="1"/>
  <c r="G60" i="1"/>
  <c r="H60" i="1"/>
  <c r="I60" i="1"/>
  <c r="A61" i="1"/>
  <c r="B61" i="1"/>
  <c r="C61" i="1"/>
  <c r="D61" i="1"/>
  <c r="E61" i="1"/>
  <c r="F61" i="1"/>
  <c r="G61" i="1"/>
  <c r="H61" i="1"/>
  <c r="I61" i="1"/>
  <c r="A62" i="1"/>
  <c r="B62" i="1"/>
  <c r="C62" i="1"/>
  <c r="D62" i="1"/>
  <c r="E62" i="1"/>
  <c r="F62" i="1"/>
  <c r="G62" i="1"/>
  <c r="H62" i="1"/>
  <c r="I62" i="1"/>
  <c r="A63" i="1"/>
  <c r="B63" i="1"/>
  <c r="C63" i="1"/>
  <c r="D63" i="1"/>
  <c r="E63" i="1"/>
  <c r="F63" i="1"/>
  <c r="G63" i="1"/>
  <c r="H63" i="1"/>
  <c r="I63" i="1"/>
  <c r="A64" i="1"/>
  <c r="B64" i="1"/>
  <c r="C64" i="1"/>
  <c r="D64" i="1"/>
  <c r="E64" i="1"/>
  <c r="F64" i="1"/>
  <c r="G64" i="1"/>
  <c r="H64" i="1"/>
  <c r="I64" i="1"/>
  <c r="A65" i="1"/>
  <c r="B65" i="1"/>
  <c r="C65" i="1"/>
  <c r="D65" i="1"/>
  <c r="E65" i="1"/>
  <c r="F65" i="1"/>
  <c r="G65" i="1"/>
  <c r="H65" i="1"/>
  <c r="I65" i="1"/>
  <c r="A66" i="1"/>
  <c r="B66" i="1"/>
  <c r="C66" i="1"/>
  <c r="D66" i="1"/>
  <c r="E66" i="1"/>
  <c r="F66" i="1"/>
  <c r="G66" i="1"/>
  <c r="H66" i="1"/>
  <c r="I66" i="1"/>
  <c r="A67" i="1"/>
  <c r="B67" i="1"/>
  <c r="C67" i="1"/>
  <c r="D67" i="1"/>
  <c r="E67" i="1"/>
  <c r="F67" i="1"/>
  <c r="G67" i="1"/>
  <c r="H67" i="1"/>
  <c r="I67" i="1"/>
  <c r="A68" i="1"/>
  <c r="B68" i="1"/>
  <c r="C68" i="1"/>
  <c r="D68" i="1"/>
  <c r="E68" i="1"/>
  <c r="F68" i="1"/>
  <c r="G68" i="1"/>
  <c r="H68" i="1"/>
  <c r="I68" i="1"/>
  <c r="A69" i="1"/>
  <c r="B69" i="1"/>
  <c r="C69" i="1"/>
  <c r="D69" i="1"/>
  <c r="E69" i="1"/>
  <c r="F69" i="1"/>
  <c r="G69" i="1"/>
  <c r="H69" i="1"/>
  <c r="I69" i="1"/>
  <c r="A70" i="1"/>
  <c r="B70" i="1"/>
  <c r="C70" i="1"/>
  <c r="D70" i="1"/>
  <c r="E70" i="1"/>
  <c r="F70" i="1"/>
  <c r="G70" i="1"/>
  <c r="H70" i="1"/>
  <c r="I70" i="1"/>
  <c r="A71" i="1"/>
  <c r="B71" i="1"/>
  <c r="C71" i="1"/>
  <c r="D71" i="1"/>
  <c r="E71" i="1"/>
  <c r="F71" i="1"/>
  <c r="G71" i="1"/>
  <c r="H71" i="1"/>
  <c r="I71" i="1"/>
  <c r="A72" i="1"/>
  <c r="B72" i="1"/>
  <c r="C72" i="1"/>
  <c r="D72" i="1"/>
  <c r="E72" i="1"/>
  <c r="F72" i="1"/>
  <c r="G72" i="1"/>
  <c r="H72" i="1"/>
  <c r="I72" i="1"/>
  <c r="A73" i="1"/>
  <c r="B73" i="1"/>
  <c r="C73" i="1"/>
  <c r="D73" i="1"/>
  <c r="E73" i="1"/>
  <c r="F73" i="1"/>
  <c r="G73" i="1"/>
  <c r="H73" i="1"/>
  <c r="I73" i="1"/>
  <c r="A74" i="1"/>
  <c r="B74" i="1"/>
  <c r="C74" i="1"/>
  <c r="D74" i="1"/>
  <c r="E74" i="1"/>
  <c r="F74" i="1"/>
  <c r="G74" i="1"/>
  <c r="H74" i="1"/>
  <c r="I74" i="1"/>
  <c r="A75" i="1"/>
  <c r="B75" i="1"/>
  <c r="C75" i="1"/>
  <c r="D75" i="1"/>
  <c r="E75" i="1"/>
  <c r="F75" i="1"/>
  <c r="G75" i="1"/>
  <c r="H75" i="1"/>
  <c r="I75" i="1"/>
  <c r="A76" i="1"/>
  <c r="B76" i="1"/>
  <c r="C76" i="1"/>
  <c r="D76" i="1"/>
  <c r="E76" i="1"/>
  <c r="F76" i="1"/>
  <c r="G76" i="1"/>
  <c r="H76" i="1"/>
  <c r="I76" i="1"/>
  <c r="A77" i="1"/>
  <c r="B77" i="1"/>
  <c r="C77" i="1"/>
  <c r="D77" i="1"/>
  <c r="E77" i="1"/>
  <c r="F77" i="1"/>
  <c r="G77" i="1"/>
  <c r="H77" i="1"/>
  <c r="I77" i="1"/>
  <c r="A78" i="1"/>
  <c r="B78" i="1"/>
  <c r="C78" i="1"/>
  <c r="D78" i="1"/>
  <c r="E78" i="1"/>
  <c r="F78" i="1"/>
  <c r="G78" i="1"/>
  <c r="H78" i="1"/>
  <c r="I78" i="1"/>
  <c r="A79" i="1"/>
  <c r="B79" i="1"/>
  <c r="C79" i="1"/>
  <c r="D79" i="1"/>
  <c r="E79" i="1"/>
  <c r="F79" i="1"/>
  <c r="G79" i="1"/>
  <c r="H79" i="1"/>
  <c r="I79" i="1"/>
  <c r="A80" i="1"/>
  <c r="B80" i="1"/>
  <c r="C80" i="1"/>
  <c r="D80" i="1"/>
  <c r="E80" i="1"/>
  <c r="F80" i="1"/>
  <c r="G80" i="1"/>
  <c r="H80" i="1"/>
  <c r="I80" i="1"/>
  <c r="A81" i="1"/>
  <c r="B81" i="1"/>
  <c r="C81" i="1"/>
  <c r="D81" i="1"/>
  <c r="E81" i="1"/>
  <c r="F81" i="1"/>
  <c r="G81" i="1"/>
  <c r="H81" i="1"/>
  <c r="I81" i="1"/>
  <c r="A82" i="1"/>
  <c r="B82" i="1"/>
  <c r="C82" i="1"/>
  <c r="D82" i="1"/>
  <c r="E82" i="1"/>
  <c r="F82" i="1"/>
  <c r="G82" i="1"/>
  <c r="H82" i="1"/>
  <c r="I82" i="1"/>
  <c r="A83" i="1"/>
  <c r="B83" i="1"/>
  <c r="C83" i="1"/>
  <c r="D83" i="1"/>
  <c r="E83" i="1"/>
  <c r="F83" i="1"/>
  <c r="G83" i="1"/>
  <c r="H83" i="1"/>
  <c r="I83" i="1"/>
  <c r="A84" i="1"/>
  <c r="B84" i="1"/>
  <c r="C84" i="1"/>
  <c r="D84" i="1"/>
  <c r="E84" i="1"/>
  <c r="F84" i="1"/>
  <c r="G84" i="1"/>
  <c r="H84" i="1"/>
  <c r="I84" i="1"/>
  <c r="A85" i="1"/>
  <c r="B85" i="1"/>
  <c r="C85" i="1"/>
  <c r="D85" i="1"/>
  <c r="E85" i="1"/>
  <c r="F85" i="1"/>
  <c r="G85" i="1"/>
  <c r="H85" i="1"/>
  <c r="I85" i="1"/>
  <c r="A86" i="1"/>
  <c r="B86" i="1"/>
  <c r="C86" i="1"/>
  <c r="D86" i="1"/>
  <c r="E86" i="1"/>
  <c r="F86" i="1"/>
  <c r="G86" i="1"/>
  <c r="H86" i="1"/>
  <c r="I86" i="1"/>
  <c r="A87" i="1"/>
  <c r="B87" i="1"/>
  <c r="C87" i="1"/>
  <c r="D87" i="1"/>
  <c r="E87" i="1"/>
  <c r="F87" i="1"/>
  <c r="G87" i="1"/>
  <c r="H87" i="1"/>
  <c r="I87" i="1"/>
  <c r="A88" i="1"/>
  <c r="B88" i="1"/>
  <c r="C88" i="1"/>
  <c r="D88" i="1"/>
  <c r="E88" i="1"/>
  <c r="F88" i="1"/>
  <c r="G88" i="1"/>
  <c r="H88" i="1"/>
  <c r="I88" i="1"/>
  <c r="A89" i="1"/>
  <c r="B89" i="1"/>
  <c r="C89" i="1"/>
  <c r="D89" i="1"/>
  <c r="E89" i="1"/>
  <c r="F89" i="1"/>
  <c r="G89" i="1"/>
  <c r="H89" i="1"/>
  <c r="I89" i="1"/>
  <c r="A90" i="1"/>
  <c r="B90" i="1"/>
  <c r="C90" i="1"/>
  <c r="D90" i="1"/>
  <c r="E90" i="1"/>
  <c r="F90" i="1"/>
  <c r="G90" i="1"/>
  <c r="H90" i="1"/>
  <c r="I90" i="1"/>
  <c r="A91" i="1"/>
  <c r="B91" i="1"/>
  <c r="C91" i="1"/>
  <c r="D91" i="1"/>
  <c r="E91" i="1"/>
  <c r="F91" i="1"/>
  <c r="G91" i="1"/>
  <c r="H91" i="1"/>
  <c r="I91" i="1"/>
  <c r="A92" i="1"/>
  <c r="B92" i="1"/>
  <c r="C92" i="1"/>
  <c r="D92" i="1"/>
  <c r="E92" i="1"/>
  <c r="F92" i="1"/>
  <c r="G92" i="1"/>
  <c r="H92" i="1"/>
  <c r="I92" i="1"/>
  <c r="A93" i="1"/>
  <c r="B93" i="1"/>
  <c r="C93" i="1"/>
  <c r="D93" i="1"/>
  <c r="E93" i="1"/>
  <c r="F93" i="1"/>
  <c r="G93" i="1"/>
  <c r="H93" i="1"/>
  <c r="I93" i="1"/>
  <c r="A94" i="1"/>
  <c r="B94" i="1"/>
  <c r="C94" i="1"/>
  <c r="D94" i="1"/>
  <c r="E94" i="1"/>
  <c r="F94" i="1"/>
  <c r="G94" i="1"/>
  <c r="H94" i="1"/>
  <c r="I94" i="1"/>
  <c r="A95" i="1"/>
  <c r="B95" i="1"/>
  <c r="C95" i="1"/>
  <c r="D95" i="1"/>
  <c r="E95" i="1"/>
  <c r="F95" i="1"/>
  <c r="G95" i="1"/>
  <c r="H95" i="1"/>
  <c r="I95" i="1"/>
  <c r="A96" i="1"/>
  <c r="B96" i="1"/>
  <c r="C96" i="1"/>
  <c r="D96" i="1"/>
  <c r="E96" i="1"/>
  <c r="F96" i="1"/>
  <c r="G96" i="1"/>
  <c r="H96" i="1"/>
  <c r="I96" i="1"/>
  <c r="A97" i="1"/>
  <c r="B97" i="1"/>
  <c r="C97" i="1"/>
  <c r="D97" i="1"/>
  <c r="E97" i="1"/>
  <c r="F97" i="1"/>
  <c r="G97" i="1"/>
  <c r="H97" i="1"/>
  <c r="I97" i="1"/>
  <c r="A98" i="1"/>
  <c r="B98" i="1"/>
  <c r="C98" i="1"/>
  <c r="D98" i="1"/>
  <c r="E98" i="1"/>
  <c r="F98" i="1"/>
  <c r="G98" i="1"/>
  <c r="H98" i="1"/>
  <c r="I98" i="1"/>
  <c r="A99" i="1"/>
  <c r="B99" i="1"/>
  <c r="C99" i="1"/>
  <c r="D99" i="1"/>
  <c r="E99" i="1"/>
  <c r="F99" i="1"/>
  <c r="G99" i="1"/>
  <c r="H99" i="1"/>
  <c r="I99" i="1"/>
  <c r="A100" i="1"/>
  <c r="B100" i="1"/>
  <c r="C100" i="1"/>
  <c r="D100" i="1"/>
  <c r="E100" i="1"/>
  <c r="F100" i="1"/>
  <c r="G100" i="1"/>
  <c r="H100" i="1"/>
  <c r="I100" i="1"/>
  <c r="A101" i="1"/>
  <c r="B101" i="1"/>
  <c r="C101" i="1"/>
  <c r="D101" i="1"/>
  <c r="E101" i="1"/>
  <c r="F101" i="1"/>
  <c r="G101" i="1"/>
  <c r="H101" i="1"/>
  <c r="I101" i="1"/>
  <c r="A102" i="1"/>
  <c r="B102" i="1"/>
  <c r="C102" i="1"/>
  <c r="D102" i="1"/>
  <c r="E102" i="1"/>
  <c r="F102" i="1"/>
  <c r="G102" i="1"/>
  <c r="H102" i="1"/>
  <c r="I102" i="1"/>
  <c r="A103" i="1"/>
  <c r="B103" i="1"/>
  <c r="C103" i="1"/>
  <c r="D103" i="1"/>
  <c r="E103" i="1"/>
  <c r="F103" i="1"/>
  <c r="G103" i="1"/>
  <c r="H103" i="1"/>
  <c r="I103" i="1"/>
  <c r="A104" i="1"/>
  <c r="B104" i="1"/>
  <c r="C104" i="1"/>
  <c r="D104" i="1"/>
  <c r="E104" i="1"/>
  <c r="F104" i="1"/>
  <c r="G104" i="1"/>
  <c r="H104" i="1"/>
  <c r="I104" i="1"/>
  <c r="A105" i="1"/>
  <c r="B105" i="1"/>
  <c r="C105" i="1"/>
  <c r="D105" i="1"/>
  <c r="E105" i="1"/>
  <c r="F105" i="1"/>
  <c r="G105" i="1"/>
  <c r="H105" i="1"/>
  <c r="I105" i="1"/>
  <c r="A106" i="1"/>
  <c r="B106" i="1"/>
  <c r="C106" i="1"/>
  <c r="D106" i="1"/>
  <c r="E106" i="1"/>
  <c r="F106" i="1"/>
  <c r="G106" i="1"/>
  <c r="H106" i="1"/>
  <c r="I106" i="1"/>
  <c r="A107" i="1"/>
  <c r="B107" i="1"/>
  <c r="C107" i="1"/>
  <c r="D107" i="1"/>
  <c r="E107" i="1"/>
  <c r="F107" i="1"/>
  <c r="G107" i="1"/>
  <c r="H107" i="1"/>
  <c r="I107" i="1"/>
  <c r="A108" i="1"/>
  <c r="B108" i="1"/>
  <c r="C108" i="1"/>
  <c r="D108" i="1"/>
  <c r="E108" i="1"/>
  <c r="F108" i="1"/>
  <c r="G108" i="1"/>
  <c r="H108" i="1"/>
  <c r="I108" i="1"/>
  <c r="A109" i="1"/>
  <c r="B109" i="1"/>
  <c r="C109" i="1"/>
  <c r="D109" i="1"/>
  <c r="E109" i="1"/>
  <c r="F109" i="1"/>
  <c r="G109" i="1"/>
  <c r="H109" i="1"/>
  <c r="I109" i="1"/>
  <c r="A110" i="1"/>
  <c r="B110" i="1"/>
  <c r="C110" i="1"/>
  <c r="D110" i="1"/>
  <c r="E110" i="1"/>
  <c r="F110" i="1"/>
  <c r="G110" i="1"/>
  <c r="H110" i="1"/>
  <c r="I110" i="1"/>
  <c r="A111" i="1"/>
  <c r="B111" i="1"/>
  <c r="C111" i="1"/>
  <c r="D111" i="1"/>
  <c r="E111" i="1"/>
  <c r="F111" i="1"/>
  <c r="G111" i="1"/>
  <c r="H111" i="1"/>
  <c r="I111" i="1"/>
  <c r="A112" i="1"/>
  <c r="B112" i="1"/>
  <c r="C112" i="1"/>
  <c r="D112" i="1"/>
  <c r="E112" i="1"/>
  <c r="F112" i="1"/>
  <c r="G112" i="1"/>
  <c r="H112" i="1"/>
  <c r="I112" i="1"/>
  <c r="A113" i="1"/>
  <c r="B113" i="1"/>
  <c r="C113" i="1"/>
  <c r="D113" i="1"/>
  <c r="E113" i="1"/>
  <c r="F113" i="1"/>
  <c r="G113" i="1"/>
  <c r="H113" i="1"/>
  <c r="I113" i="1"/>
  <c r="A114" i="1"/>
  <c r="B114" i="1"/>
  <c r="C114" i="1"/>
  <c r="D114" i="1"/>
  <c r="E114" i="1"/>
  <c r="F114" i="1"/>
  <c r="G114" i="1"/>
  <c r="H114" i="1"/>
  <c r="I114" i="1"/>
  <c r="A115" i="1"/>
  <c r="B115" i="1"/>
  <c r="C115" i="1"/>
  <c r="D115" i="1"/>
  <c r="E115" i="1"/>
  <c r="F115" i="1"/>
  <c r="G115" i="1"/>
  <c r="H115" i="1"/>
  <c r="I115" i="1"/>
  <c r="A116" i="1"/>
  <c r="B116" i="1"/>
  <c r="C116" i="1"/>
  <c r="D116" i="1"/>
  <c r="E116" i="1"/>
  <c r="F116" i="1"/>
  <c r="G116" i="1"/>
  <c r="H116" i="1"/>
  <c r="I116" i="1"/>
  <c r="A117" i="1"/>
  <c r="B117" i="1"/>
  <c r="C117" i="1"/>
  <c r="D117" i="1"/>
  <c r="E117" i="1"/>
  <c r="F117" i="1"/>
  <c r="G117" i="1"/>
  <c r="H117" i="1"/>
  <c r="I117" i="1"/>
  <c r="A118" i="1"/>
  <c r="B118" i="1"/>
  <c r="C118" i="1"/>
  <c r="D118" i="1"/>
  <c r="E118" i="1"/>
  <c r="F118" i="1"/>
  <c r="G118" i="1"/>
  <c r="H118" i="1"/>
  <c r="I118" i="1"/>
  <c r="A119" i="1"/>
  <c r="B119" i="1"/>
  <c r="C119" i="1"/>
  <c r="D119" i="1"/>
  <c r="E119" i="1"/>
  <c r="F119" i="1"/>
  <c r="G119" i="1"/>
  <c r="H119" i="1"/>
  <c r="I119" i="1"/>
  <c r="A120" i="1"/>
  <c r="B120" i="1"/>
  <c r="C120" i="1"/>
  <c r="D120" i="1"/>
  <c r="E120" i="1"/>
  <c r="F120" i="1"/>
  <c r="G120" i="1"/>
  <c r="H120" i="1"/>
  <c r="I120" i="1"/>
  <c r="A121" i="1"/>
  <c r="B121" i="1"/>
  <c r="C121" i="1"/>
  <c r="D121" i="1"/>
  <c r="E121" i="1"/>
  <c r="F121" i="1"/>
  <c r="G121" i="1"/>
  <c r="H121" i="1"/>
  <c r="I121" i="1"/>
  <c r="A122" i="1"/>
  <c r="B122" i="1"/>
  <c r="C122" i="1"/>
  <c r="D122" i="1"/>
  <c r="E122" i="1"/>
  <c r="F122" i="1"/>
  <c r="G122" i="1"/>
  <c r="H122" i="1"/>
  <c r="I122" i="1"/>
  <c r="A123" i="1"/>
  <c r="B123" i="1"/>
  <c r="C123" i="1"/>
  <c r="D123" i="1"/>
  <c r="E123" i="1"/>
  <c r="F123" i="1"/>
  <c r="G123" i="1"/>
  <c r="H123" i="1"/>
  <c r="I123" i="1"/>
  <c r="A124" i="1"/>
  <c r="B124" i="1"/>
  <c r="C124" i="1"/>
  <c r="D124" i="1"/>
  <c r="E124" i="1"/>
  <c r="F124" i="1"/>
  <c r="G124" i="1"/>
  <c r="H124" i="1"/>
  <c r="I124" i="1"/>
  <c r="A125" i="1"/>
  <c r="B125" i="1"/>
  <c r="C125" i="1"/>
  <c r="D125" i="1"/>
  <c r="E125" i="1"/>
  <c r="F125" i="1"/>
  <c r="G125" i="1"/>
  <c r="H125" i="1"/>
  <c r="I125" i="1"/>
  <c r="A126" i="1"/>
  <c r="B126" i="1"/>
  <c r="C126" i="1"/>
  <c r="D126" i="1"/>
  <c r="E126" i="1"/>
  <c r="F126" i="1"/>
  <c r="G126" i="1"/>
  <c r="H126" i="1"/>
  <c r="I126" i="1"/>
  <c r="A127" i="1"/>
  <c r="B127" i="1"/>
  <c r="C127" i="1"/>
  <c r="D127" i="1"/>
  <c r="E127" i="1"/>
  <c r="F127" i="1"/>
  <c r="G127" i="1"/>
  <c r="H127" i="1"/>
  <c r="I127" i="1"/>
  <c r="A128" i="1"/>
  <c r="B128" i="1"/>
  <c r="C128" i="1"/>
  <c r="D128" i="1"/>
  <c r="E128" i="1"/>
  <c r="F128" i="1"/>
  <c r="G128" i="1"/>
  <c r="H128" i="1"/>
  <c r="I128" i="1"/>
  <c r="A129" i="1"/>
  <c r="B129" i="1"/>
  <c r="C129" i="1"/>
  <c r="D129" i="1"/>
  <c r="E129" i="1"/>
  <c r="F129" i="1"/>
  <c r="G129" i="1"/>
  <c r="H129" i="1"/>
  <c r="I129" i="1"/>
  <c r="A130" i="1"/>
  <c r="B130" i="1"/>
  <c r="C130" i="1"/>
  <c r="D130" i="1"/>
  <c r="E130" i="1"/>
  <c r="F130" i="1"/>
  <c r="G130" i="1"/>
  <c r="H130" i="1"/>
  <c r="I130" i="1"/>
  <c r="A131" i="1"/>
  <c r="B131" i="1"/>
  <c r="C131" i="1"/>
  <c r="D131" i="1"/>
  <c r="E131" i="1"/>
  <c r="F131" i="1"/>
  <c r="G131" i="1"/>
  <c r="H131" i="1"/>
  <c r="I131" i="1"/>
  <c r="A132" i="1"/>
  <c r="B132" i="1"/>
  <c r="C132" i="1"/>
  <c r="D132" i="1"/>
  <c r="E132" i="1"/>
  <c r="F132" i="1"/>
  <c r="G132" i="1"/>
  <c r="H132" i="1"/>
  <c r="I132" i="1"/>
  <c r="A133" i="1"/>
  <c r="B133" i="1"/>
  <c r="C133" i="1"/>
  <c r="D133" i="1"/>
  <c r="E133" i="1"/>
  <c r="F133" i="1"/>
  <c r="G133" i="1"/>
  <c r="H133" i="1"/>
  <c r="I133" i="1"/>
  <c r="A134" i="1"/>
  <c r="B134" i="1"/>
  <c r="C134" i="1"/>
  <c r="D134" i="1"/>
  <c r="E134" i="1"/>
  <c r="F134" i="1"/>
  <c r="G134" i="1"/>
  <c r="H134" i="1"/>
  <c r="I134" i="1"/>
  <c r="A135" i="1"/>
  <c r="B135" i="1"/>
  <c r="C135" i="1"/>
  <c r="D135" i="1"/>
  <c r="E135" i="1"/>
  <c r="F135" i="1"/>
  <c r="G135" i="1"/>
  <c r="H135" i="1"/>
  <c r="I135" i="1"/>
  <c r="A136" i="1"/>
  <c r="B136" i="1"/>
  <c r="C136" i="1"/>
  <c r="D136" i="1"/>
  <c r="E136" i="1"/>
  <c r="F136" i="1"/>
  <c r="G136" i="1"/>
  <c r="H136" i="1"/>
  <c r="I136" i="1"/>
  <c r="A137" i="1"/>
  <c r="B137" i="1"/>
  <c r="C137" i="1"/>
  <c r="D137" i="1"/>
  <c r="E137" i="1"/>
  <c r="F137" i="1"/>
  <c r="G137" i="1"/>
  <c r="H137" i="1"/>
  <c r="I137" i="1"/>
  <c r="A138" i="1"/>
  <c r="B138" i="1"/>
  <c r="C138" i="1"/>
  <c r="D138" i="1"/>
  <c r="E138" i="1"/>
  <c r="F138" i="1"/>
  <c r="G138" i="1"/>
  <c r="H138" i="1"/>
  <c r="I138" i="1"/>
  <c r="A139" i="1"/>
  <c r="B139" i="1"/>
  <c r="C139" i="1"/>
  <c r="D139" i="1"/>
  <c r="E139" i="1"/>
  <c r="F139" i="1"/>
  <c r="G139" i="1"/>
  <c r="H139" i="1"/>
  <c r="I139" i="1"/>
  <c r="A140" i="1"/>
  <c r="B140" i="1"/>
  <c r="C140" i="1"/>
  <c r="D140" i="1"/>
  <c r="E140" i="1"/>
  <c r="F140" i="1"/>
  <c r="G140" i="1"/>
  <c r="H140" i="1"/>
  <c r="I140" i="1"/>
  <c r="A141" i="1"/>
  <c r="B141" i="1"/>
  <c r="C141" i="1"/>
  <c r="D141" i="1"/>
  <c r="E141" i="1"/>
  <c r="F141" i="1"/>
  <c r="G141" i="1"/>
  <c r="H141" i="1"/>
  <c r="I141" i="1"/>
  <c r="A142" i="1"/>
  <c r="B142" i="1"/>
  <c r="C142" i="1"/>
  <c r="D142" i="1"/>
  <c r="E142" i="1"/>
  <c r="F142" i="1"/>
  <c r="G142" i="1"/>
  <c r="H142" i="1"/>
  <c r="I142" i="1"/>
  <c r="A143" i="1"/>
  <c r="B143" i="1"/>
  <c r="C143" i="1"/>
  <c r="D143" i="1"/>
  <c r="E143" i="1"/>
  <c r="F143" i="1"/>
  <c r="G143" i="1"/>
  <c r="H143" i="1"/>
  <c r="I143" i="1"/>
  <c r="A144" i="1"/>
  <c r="B144" i="1"/>
  <c r="C144" i="1"/>
  <c r="D144" i="1"/>
  <c r="E144" i="1"/>
  <c r="F144" i="1"/>
  <c r="G144" i="1"/>
  <c r="H144" i="1"/>
  <c r="I144" i="1"/>
  <c r="A145" i="1"/>
  <c r="B145" i="1"/>
  <c r="C145" i="1"/>
  <c r="D145" i="1"/>
  <c r="E145" i="1"/>
  <c r="F145" i="1"/>
  <c r="G145" i="1"/>
  <c r="H145" i="1"/>
  <c r="I145" i="1"/>
  <c r="A146" i="1"/>
  <c r="B146" i="1"/>
  <c r="C146" i="1"/>
  <c r="D146" i="1"/>
  <c r="E146" i="1"/>
  <c r="F146" i="1"/>
  <c r="G146" i="1"/>
  <c r="H146" i="1"/>
  <c r="I146" i="1"/>
  <c r="A147" i="1"/>
  <c r="B147" i="1"/>
  <c r="C147" i="1"/>
  <c r="D147" i="1"/>
  <c r="E147" i="1"/>
  <c r="F147" i="1"/>
  <c r="G147" i="1"/>
  <c r="H147" i="1"/>
  <c r="I147" i="1"/>
  <c r="A148" i="1"/>
  <c r="B148" i="1"/>
  <c r="C148" i="1"/>
  <c r="D148" i="1"/>
  <c r="E148" i="1"/>
  <c r="F148" i="1"/>
  <c r="G148" i="1"/>
  <c r="H148" i="1"/>
  <c r="I148" i="1"/>
  <c r="A149" i="1"/>
  <c r="B149" i="1"/>
  <c r="C149" i="1"/>
  <c r="D149" i="1"/>
  <c r="E149" i="1"/>
  <c r="F149" i="1"/>
  <c r="G149" i="1"/>
  <c r="H149" i="1"/>
  <c r="I149" i="1"/>
  <c r="A150" i="1"/>
  <c r="B150" i="1"/>
  <c r="C150" i="1"/>
  <c r="D150" i="1"/>
  <c r="E150" i="1"/>
  <c r="F150" i="1"/>
  <c r="G150" i="1"/>
  <c r="H150" i="1"/>
  <c r="I150" i="1"/>
  <c r="A151" i="1"/>
  <c r="B151" i="1"/>
  <c r="C151" i="1"/>
  <c r="D151" i="1"/>
  <c r="E151" i="1"/>
  <c r="F151" i="1"/>
  <c r="G151" i="1"/>
  <c r="H151" i="1"/>
  <c r="I151" i="1"/>
  <c r="A152" i="1"/>
  <c r="B152" i="1"/>
  <c r="C152" i="1"/>
  <c r="D152" i="1"/>
  <c r="E152" i="1"/>
  <c r="F152" i="1"/>
  <c r="G152" i="1"/>
  <c r="H152" i="1"/>
  <c r="I152" i="1"/>
  <c r="A153" i="1"/>
  <c r="B153" i="1"/>
  <c r="C153" i="1"/>
  <c r="D153" i="1"/>
  <c r="E153" i="1"/>
  <c r="F153" i="1"/>
  <c r="G153" i="1"/>
  <c r="H153" i="1"/>
  <c r="I153" i="1"/>
  <c r="A154" i="1"/>
  <c r="B154" i="1"/>
  <c r="C154" i="1"/>
  <c r="D154" i="1"/>
  <c r="E154" i="1"/>
  <c r="F154" i="1"/>
  <c r="G154" i="1"/>
  <c r="H154" i="1"/>
  <c r="I154" i="1"/>
  <c r="A155" i="1"/>
  <c r="B155" i="1"/>
  <c r="C155" i="1"/>
  <c r="D155" i="1"/>
  <c r="E155" i="1"/>
  <c r="F155" i="1"/>
  <c r="G155" i="1"/>
  <c r="H155" i="1"/>
  <c r="I155" i="1"/>
  <c r="A156" i="1"/>
  <c r="B156" i="1"/>
  <c r="C156" i="1"/>
  <c r="D156" i="1"/>
  <c r="E156" i="1"/>
  <c r="F156" i="1"/>
  <c r="G156" i="1"/>
  <c r="H156" i="1"/>
  <c r="I156" i="1"/>
  <c r="A157" i="1"/>
  <c r="B157" i="1"/>
  <c r="C157" i="1"/>
  <c r="D157" i="1"/>
  <c r="E157" i="1"/>
  <c r="F157" i="1"/>
  <c r="G157" i="1"/>
  <c r="H157" i="1"/>
  <c r="I157" i="1"/>
  <c r="A158" i="1"/>
  <c r="B158" i="1"/>
  <c r="C158" i="1"/>
  <c r="D158" i="1"/>
  <c r="E158" i="1"/>
  <c r="F158" i="1"/>
  <c r="G158" i="1"/>
  <c r="H158" i="1"/>
  <c r="I158" i="1"/>
  <c r="A159" i="1"/>
  <c r="B159" i="1"/>
  <c r="C159" i="1"/>
  <c r="D159" i="1"/>
  <c r="E159" i="1"/>
  <c r="F159" i="1"/>
  <c r="G159" i="1"/>
  <c r="H159" i="1"/>
  <c r="I159" i="1"/>
  <c r="A160" i="1"/>
  <c r="B160" i="1"/>
  <c r="C160" i="1"/>
  <c r="D160" i="1"/>
  <c r="E160" i="1"/>
  <c r="F160" i="1"/>
  <c r="G160" i="1"/>
  <c r="H160" i="1"/>
  <c r="I160" i="1"/>
  <c r="A161" i="1"/>
  <c r="B161" i="1"/>
  <c r="C161" i="1"/>
  <c r="D161" i="1"/>
  <c r="E161" i="1"/>
  <c r="F161" i="1"/>
  <c r="G161" i="1"/>
  <c r="H161" i="1"/>
  <c r="I161" i="1"/>
  <c r="A162" i="1"/>
  <c r="B162" i="1"/>
  <c r="C162" i="1"/>
  <c r="D162" i="1"/>
  <c r="E162" i="1"/>
  <c r="F162" i="1"/>
  <c r="G162" i="1"/>
  <c r="H162" i="1"/>
  <c r="I162" i="1"/>
  <c r="A163" i="1"/>
  <c r="B163" i="1"/>
  <c r="C163" i="1"/>
  <c r="D163" i="1"/>
  <c r="E163" i="1"/>
  <c r="F163" i="1"/>
  <c r="G163" i="1"/>
  <c r="H163" i="1"/>
  <c r="I163" i="1"/>
  <c r="A164" i="1"/>
  <c r="B164" i="1"/>
  <c r="C164" i="1"/>
  <c r="D164" i="1"/>
  <c r="E164" i="1"/>
  <c r="F164" i="1"/>
  <c r="G164" i="1"/>
  <c r="H164" i="1"/>
  <c r="I164" i="1"/>
  <c r="A165" i="1"/>
  <c r="B165" i="1"/>
  <c r="C165" i="1"/>
  <c r="D165" i="1"/>
  <c r="E165" i="1"/>
  <c r="F165" i="1"/>
  <c r="G165" i="1"/>
  <c r="H165" i="1"/>
  <c r="I165" i="1"/>
  <c r="A166" i="1"/>
  <c r="B166" i="1"/>
  <c r="C166" i="1"/>
  <c r="D166" i="1"/>
  <c r="E166" i="1"/>
  <c r="F166" i="1"/>
  <c r="G166" i="1"/>
  <c r="H166" i="1"/>
  <c r="I166" i="1"/>
  <c r="A167" i="1"/>
  <c r="B167" i="1"/>
  <c r="C167" i="1"/>
  <c r="D167" i="1"/>
  <c r="E167" i="1"/>
  <c r="F167" i="1"/>
  <c r="G167" i="1"/>
  <c r="H167" i="1"/>
  <c r="I167" i="1"/>
  <c r="A168" i="1"/>
  <c r="B168" i="1"/>
  <c r="C168" i="1"/>
  <c r="D168" i="1"/>
  <c r="E168" i="1"/>
  <c r="F168" i="1"/>
  <c r="G168" i="1"/>
  <c r="H168" i="1"/>
  <c r="I168" i="1"/>
  <c r="A169" i="1"/>
  <c r="B169" i="1"/>
  <c r="C169" i="1"/>
  <c r="D169" i="1"/>
  <c r="E169" i="1"/>
  <c r="F169" i="1"/>
  <c r="G169" i="1"/>
  <c r="H169" i="1"/>
  <c r="I169" i="1"/>
  <c r="A170" i="1"/>
  <c r="B170" i="1"/>
  <c r="C170" i="1"/>
  <c r="D170" i="1"/>
  <c r="E170" i="1"/>
  <c r="F170" i="1"/>
  <c r="G170" i="1"/>
  <c r="H170" i="1"/>
  <c r="I170" i="1"/>
  <c r="A171" i="1"/>
  <c r="B171" i="1"/>
  <c r="C171" i="1"/>
  <c r="D171" i="1"/>
  <c r="E171" i="1"/>
  <c r="F171" i="1"/>
  <c r="G171" i="1"/>
  <c r="H171" i="1"/>
  <c r="I171" i="1"/>
  <c r="A172" i="1"/>
  <c r="B172" i="1"/>
  <c r="C172" i="1"/>
  <c r="D172" i="1"/>
  <c r="E172" i="1"/>
  <c r="F172" i="1"/>
  <c r="G172" i="1"/>
  <c r="H172" i="1"/>
  <c r="I172" i="1"/>
  <c r="A173" i="1"/>
  <c r="B173" i="1"/>
  <c r="C173" i="1"/>
  <c r="D173" i="1"/>
  <c r="E173" i="1"/>
  <c r="F173" i="1"/>
  <c r="G173" i="1"/>
  <c r="H173" i="1"/>
  <c r="I173" i="1"/>
  <c r="A174" i="1"/>
  <c r="B174" i="1"/>
  <c r="C174" i="1"/>
  <c r="D174" i="1"/>
  <c r="E174" i="1"/>
  <c r="F174" i="1"/>
  <c r="G174" i="1"/>
  <c r="H174" i="1"/>
  <c r="I174" i="1"/>
  <c r="A175" i="1"/>
  <c r="B175" i="1"/>
  <c r="C175" i="1"/>
  <c r="D175" i="1"/>
  <c r="E175" i="1"/>
  <c r="F175" i="1"/>
  <c r="G175" i="1"/>
  <c r="H175" i="1"/>
  <c r="I175" i="1"/>
  <c r="A176" i="1"/>
  <c r="B176" i="1"/>
  <c r="C176" i="1"/>
  <c r="D176" i="1"/>
  <c r="E176" i="1"/>
  <c r="F176" i="1"/>
  <c r="G176" i="1"/>
  <c r="H176" i="1"/>
  <c r="I176" i="1"/>
  <c r="A177" i="1"/>
  <c r="B177" i="1"/>
  <c r="C177" i="1"/>
  <c r="D177" i="1"/>
  <c r="E177" i="1"/>
  <c r="F177" i="1"/>
  <c r="G177" i="1"/>
  <c r="H177" i="1"/>
  <c r="I177" i="1"/>
  <c r="A178" i="1"/>
  <c r="B178" i="1"/>
  <c r="C178" i="1"/>
  <c r="D178" i="1"/>
  <c r="E178" i="1"/>
  <c r="F178" i="1"/>
  <c r="G178" i="1"/>
  <c r="H178" i="1"/>
  <c r="I178" i="1"/>
  <c r="A179" i="1"/>
  <c r="B179" i="1"/>
  <c r="C179" i="1"/>
  <c r="D179" i="1"/>
  <c r="E179" i="1"/>
  <c r="F179" i="1"/>
  <c r="G179" i="1"/>
  <c r="H179" i="1"/>
  <c r="I179" i="1"/>
  <c r="A180" i="1"/>
  <c r="B180" i="1"/>
  <c r="C180" i="1"/>
  <c r="D180" i="1"/>
  <c r="E180" i="1"/>
  <c r="F180" i="1"/>
  <c r="G180" i="1"/>
  <c r="H180" i="1"/>
  <c r="I180" i="1"/>
  <c r="A181" i="1"/>
  <c r="B181" i="1"/>
  <c r="C181" i="1"/>
  <c r="D181" i="1"/>
  <c r="E181" i="1"/>
  <c r="F181" i="1"/>
  <c r="G181" i="1"/>
  <c r="H181" i="1"/>
  <c r="I181" i="1"/>
  <c r="A182" i="1"/>
  <c r="B182" i="1"/>
  <c r="C182" i="1"/>
  <c r="D182" i="1"/>
  <c r="E182" i="1"/>
  <c r="F182" i="1"/>
  <c r="G182" i="1"/>
  <c r="H182" i="1"/>
  <c r="I182" i="1"/>
  <c r="A183" i="1"/>
  <c r="B183" i="1"/>
  <c r="C183" i="1"/>
  <c r="D183" i="1"/>
  <c r="E183" i="1"/>
  <c r="F183" i="1"/>
  <c r="G183" i="1"/>
  <c r="H183" i="1"/>
  <c r="I183" i="1"/>
  <c r="A184" i="1"/>
  <c r="B184" i="1"/>
  <c r="C184" i="1"/>
  <c r="D184" i="1"/>
  <c r="E184" i="1"/>
  <c r="F184" i="1"/>
  <c r="G184" i="1"/>
  <c r="H184" i="1"/>
  <c r="I184" i="1"/>
  <c r="A185" i="1"/>
  <c r="B185" i="1"/>
  <c r="C185" i="1"/>
  <c r="D185" i="1"/>
  <c r="E185" i="1"/>
  <c r="F185" i="1"/>
  <c r="G185" i="1"/>
  <c r="H185" i="1"/>
  <c r="I185" i="1"/>
  <c r="A186" i="1"/>
  <c r="B186" i="1"/>
  <c r="C186" i="1"/>
  <c r="D186" i="1"/>
  <c r="E186" i="1"/>
  <c r="F186" i="1"/>
  <c r="G186" i="1"/>
  <c r="H186" i="1"/>
  <c r="I186" i="1"/>
  <c r="A187" i="1"/>
  <c r="B187" i="1"/>
  <c r="C187" i="1"/>
  <c r="D187" i="1"/>
  <c r="E187" i="1"/>
  <c r="F187" i="1"/>
  <c r="G187" i="1"/>
  <c r="H187" i="1"/>
  <c r="I187" i="1"/>
  <c r="A188" i="1"/>
  <c r="B188" i="1"/>
  <c r="C188" i="1"/>
  <c r="D188" i="1"/>
  <c r="E188" i="1"/>
  <c r="F188" i="1"/>
  <c r="G188" i="1"/>
  <c r="H188" i="1"/>
  <c r="I188" i="1"/>
  <c r="A189" i="1"/>
  <c r="B189" i="1"/>
  <c r="C189" i="1"/>
  <c r="D189" i="1"/>
  <c r="E189" i="1"/>
  <c r="F189" i="1"/>
  <c r="G189" i="1"/>
  <c r="H189" i="1"/>
  <c r="I189" i="1"/>
  <c r="A190" i="1"/>
  <c r="B190" i="1"/>
  <c r="C190" i="1"/>
  <c r="D190" i="1"/>
  <c r="E190" i="1"/>
  <c r="F190" i="1"/>
  <c r="G190" i="1"/>
  <c r="H190" i="1"/>
  <c r="I190" i="1"/>
  <c r="A191" i="1"/>
  <c r="B191" i="1"/>
  <c r="C191" i="1"/>
  <c r="D191" i="1"/>
  <c r="E191" i="1"/>
  <c r="F191" i="1"/>
  <c r="G191" i="1"/>
  <c r="H191" i="1"/>
  <c r="I191" i="1"/>
  <c r="A192" i="1"/>
  <c r="B192" i="1"/>
  <c r="C192" i="1"/>
  <c r="D192" i="1"/>
  <c r="E192" i="1"/>
  <c r="F192" i="1"/>
  <c r="G192" i="1"/>
  <c r="H192" i="1"/>
  <c r="I192" i="1"/>
  <c r="A193" i="1"/>
  <c r="B193" i="1"/>
  <c r="C193" i="1"/>
  <c r="D193" i="1"/>
  <c r="E193" i="1"/>
  <c r="F193" i="1"/>
  <c r="G193" i="1"/>
  <c r="H193" i="1"/>
  <c r="I193" i="1"/>
  <c r="A194" i="1"/>
  <c r="B194" i="1"/>
  <c r="C194" i="1"/>
  <c r="D194" i="1"/>
  <c r="E194" i="1"/>
  <c r="F194" i="1"/>
  <c r="G194" i="1"/>
  <c r="H194" i="1"/>
  <c r="I194" i="1"/>
  <c r="A195" i="1"/>
  <c r="B195" i="1"/>
  <c r="C195" i="1"/>
  <c r="D195" i="1"/>
  <c r="E195" i="1"/>
  <c r="F195" i="1"/>
  <c r="G195" i="1"/>
  <c r="H195" i="1"/>
  <c r="I195" i="1"/>
  <c r="A196" i="1"/>
  <c r="B196" i="1"/>
  <c r="C196" i="1"/>
  <c r="D196" i="1"/>
  <c r="E196" i="1"/>
  <c r="F196" i="1"/>
  <c r="G196" i="1"/>
  <c r="H196" i="1"/>
  <c r="I196" i="1"/>
  <c r="A197" i="1"/>
  <c r="B197" i="1"/>
  <c r="C197" i="1"/>
  <c r="D197" i="1"/>
  <c r="E197" i="1"/>
  <c r="F197" i="1"/>
  <c r="G197" i="1"/>
  <c r="H197" i="1"/>
  <c r="I197" i="1"/>
  <c r="A198" i="1"/>
  <c r="B198" i="1"/>
  <c r="C198" i="1"/>
  <c r="D198" i="1"/>
  <c r="E198" i="1"/>
  <c r="F198" i="1"/>
  <c r="G198" i="1"/>
  <c r="H198" i="1"/>
  <c r="I198" i="1"/>
  <c r="A199" i="1"/>
  <c r="B199" i="1"/>
  <c r="C199" i="1"/>
  <c r="D199" i="1"/>
  <c r="E199" i="1"/>
  <c r="F199" i="1"/>
  <c r="G199" i="1"/>
  <c r="H199" i="1"/>
  <c r="I199" i="1"/>
  <c r="A200" i="1"/>
  <c r="B200" i="1"/>
  <c r="C200" i="1"/>
  <c r="D200" i="1"/>
  <c r="E200" i="1"/>
  <c r="F200" i="1"/>
  <c r="G200" i="1"/>
  <c r="H200" i="1"/>
  <c r="I200" i="1"/>
  <c r="A201" i="1"/>
  <c r="B201" i="1"/>
  <c r="C201" i="1"/>
  <c r="D201" i="1"/>
  <c r="E201" i="1"/>
  <c r="F201" i="1"/>
  <c r="G201" i="1"/>
  <c r="H201" i="1"/>
  <c r="I201" i="1"/>
  <c r="A202" i="1"/>
  <c r="B202" i="1"/>
  <c r="C202" i="1"/>
  <c r="D202" i="1"/>
  <c r="E202" i="1"/>
  <c r="F202" i="1"/>
  <c r="G202" i="1"/>
  <c r="H202" i="1"/>
  <c r="I202" i="1"/>
  <c r="A203" i="1"/>
  <c r="B203" i="1"/>
  <c r="C203" i="1"/>
  <c r="D203" i="1"/>
  <c r="E203" i="1"/>
  <c r="F203" i="1"/>
  <c r="G203" i="1"/>
  <c r="H203" i="1"/>
  <c r="I203" i="1"/>
  <c r="A204" i="1"/>
  <c r="B204" i="1"/>
  <c r="C204" i="1"/>
  <c r="D204" i="1"/>
  <c r="E204" i="1"/>
  <c r="F204" i="1"/>
  <c r="G204" i="1"/>
  <c r="H204" i="1"/>
  <c r="I204" i="1"/>
  <c r="A205" i="1"/>
  <c r="B205" i="1"/>
  <c r="C205" i="1"/>
  <c r="D205" i="1"/>
  <c r="E205" i="1"/>
  <c r="F205" i="1"/>
  <c r="G205" i="1"/>
  <c r="H205" i="1"/>
  <c r="I205" i="1"/>
  <c r="A206" i="1"/>
  <c r="B206" i="1"/>
  <c r="C206" i="1"/>
  <c r="D206" i="1"/>
  <c r="E206" i="1"/>
  <c r="F206" i="1"/>
  <c r="G206" i="1"/>
  <c r="H206" i="1"/>
  <c r="I206" i="1"/>
  <c r="A207" i="1"/>
  <c r="B207" i="1"/>
  <c r="C207" i="1"/>
  <c r="D207" i="1"/>
  <c r="E207" i="1"/>
  <c r="F207" i="1"/>
  <c r="G207" i="1"/>
  <c r="H207" i="1"/>
  <c r="I207" i="1"/>
  <c r="A208" i="1"/>
  <c r="B208" i="1"/>
  <c r="C208" i="1"/>
  <c r="D208" i="1"/>
  <c r="E208" i="1"/>
  <c r="F208" i="1"/>
  <c r="G208" i="1"/>
  <c r="H208" i="1"/>
  <c r="I208" i="1"/>
  <c r="A209" i="1"/>
  <c r="B209" i="1"/>
  <c r="C209" i="1"/>
  <c r="D209" i="1"/>
  <c r="E209" i="1"/>
  <c r="F209" i="1"/>
  <c r="G209" i="1"/>
  <c r="H209" i="1"/>
  <c r="I209" i="1"/>
  <c r="A210" i="1"/>
  <c r="B210" i="1"/>
  <c r="C210" i="1"/>
  <c r="D210" i="1"/>
  <c r="E210" i="1"/>
  <c r="F210" i="1"/>
  <c r="G210" i="1"/>
  <c r="H210" i="1"/>
  <c r="I210" i="1"/>
  <c r="A211" i="1"/>
  <c r="B211" i="1"/>
  <c r="C211" i="1"/>
  <c r="D211" i="1"/>
  <c r="E211" i="1"/>
  <c r="F211" i="1"/>
  <c r="G211" i="1"/>
  <c r="H211" i="1"/>
  <c r="I211" i="1"/>
  <c r="A212" i="1"/>
  <c r="B212" i="1"/>
  <c r="C212" i="1"/>
  <c r="D212" i="1"/>
  <c r="E212" i="1"/>
  <c r="F212" i="1"/>
  <c r="G212" i="1"/>
  <c r="H212" i="1"/>
  <c r="I212" i="1"/>
  <c r="A213" i="1"/>
  <c r="B213" i="1"/>
  <c r="C213" i="1"/>
  <c r="D213" i="1"/>
  <c r="E213" i="1"/>
  <c r="F213" i="1"/>
  <c r="G213" i="1"/>
  <c r="H213" i="1"/>
  <c r="I213" i="1"/>
  <c r="A214" i="1"/>
  <c r="B214" i="1"/>
  <c r="C214" i="1"/>
  <c r="D214" i="1"/>
  <c r="E214" i="1"/>
  <c r="F214" i="1"/>
  <c r="G214" i="1"/>
  <c r="H214" i="1"/>
  <c r="I214" i="1"/>
  <c r="A215" i="1"/>
  <c r="B215" i="1"/>
  <c r="C215" i="1"/>
  <c r="D215" i="1"/>
  <c r="E215" i="1"/>
  <c r="F215" i="1"/>
  <c r="G215" i="1"/>
  <c r="H215" i="1"/>
  <c r="I215" i="1"/>
  <c r="A216" i="1"/>
  <c r="B216" i="1"/>
  <c r="C216" i="1"/>
  <c r="D216" i="1"/>
  <c r="E216" i="1"/>
  <c r="F216" i="1"/>
  <c r="G216" i="1"/>
  <c r="H216" i="1"/>
  <c r="I216" i="1"/>
  <c r="A217" i="1"/>
  <c r="B217" i="1"/>
  <c r="C217" i="1"/>
  <c r="D217" i="1"/>
  <c r="E217" i="1"/>
  <c r="F217" i="1"/>
  <c r="G217" i="1"/>
  <c r="H217" i="1"/>
  <c r="I217" i="1"/>
  <c r="A218" i="1"/>
  <c r="B218" i="1"/>
  <c r="C218" i="1"/>
  <c r="D218" i="1"/>
  <c r="E218" i="1"/>
  <c r="F218" i="1"/>
  <c r="G218" i="1"/>
  <c r="H218" i="1"/>
  <c r="I218" i="1"/>
  <c r="A219" i="1"/>
  <c r="B219" i="1"/>
  <c r="C219" i="1"/>
  <c r="D219" i="1"/>
  <c r="E219" i="1"/>
  <c r="F219" i="1"/>
  <c r="G219" i="1"/>
  <c r="H219" i="1"/>
  <c r="I219" i="1"/>
  <c r="A220" i="1"/>
  <c r="B220" i="1"/>
  <c r="C220" i="1"/>
  <c r="D220" i="1"/>
  <c r="E220" i="1"/>
  <c r="F220" i="1"/>
  <c r="G220" i="1"/>
  <c r="H220" i="1"/>
  <c r="I220" i="1"/>
  <c r="A221" i="1"/>
  <c r="B221" i="1"/>
  <c r="C221" i="1"/>
  <c r="D221" i="1"/>
  <c r="E221" i="1"/>
  <c r="F221" i="1"/>
  <c r="G221" i="1"/>
  <c r="H221" i="1"/>
  <c r="I221" i="1"/>
  <c r="A222" i="1"/>
  <c r="B222" i="1"/>
  <c r="C222" i="1"/>
  <c r="D222" i="1"/>
  <c r="E222" i="1"/>
  <c r="F222" i="1"/>
  <c r="G222" i="1"/>
  <c r="H222" i="1"/>
  <c r="I222" i="1"/>
  <c r="A223" i="1"/>
  <c r="B223" i="1"/>
  <c r="C223" i="1"/>
  <c r="D223" i="1"/>
  <c r="E223" i="1"/>
  <c r="F223" i="1"/>
  <c r="G223" i="1"/>
  <c r="H223" i="1"/>
  <c r="I223" i="1"/>
  <c r="A224" i="1"/>
  <c r="B224" i="1"/>
  <c r="C224" i="1"/>
  <c r="D224" i="1"/>
  <c r="E224" i="1"/>
  <c r="F224" i="1"/>
  <c r="G224" i="1"/>
  <c r="H224" i="1"/>
  <c r="I224" i="1"/>
  <c r="A225" i="1"/>
  <c r="B225" i="1"/>
  <c r="C225" i="1"/>
  <c r="D225" i="1"/>
  <c r="E225" i="1"/>
  <c r="F225" i="1"/>
  <c r="G225" i="1"/>
  <c r="H225" i="1"/>
  <c r="I225" i="1"/>
  <c r="A226" i="1"/>
  <c r="B226" i="1"/>
  <c r="C226" i="1"/>
  <c r="D226" i="1"/>
  <c r="E226" i="1"/>
  <c r="F226" i="1"/>
  <c r="G226" i="1"/>
  <c r="H226" i="1"/>
  <c r="I226" i="1"/>
  <c r="A227" i="1"/>
  <c r="B227" i="1"/>
  <c r="C227" i="1"/>
  <c r="D227" i="1"/>
  <c r="E227" i="1"/>
  <c r="F227" i="1"/>
  <c r="G227" i="1"/>
  <c r="H227" i="1"/>
  <c r="I227" i="1"/>
  <c r="A228" i="1"/>
  <c r="B228" i="1"/>
  <c r="C228" i="1"/>
  <c r="D228" i="1"/>
  <c r="E228" i="1"/>
  <c r="F228" i="1"/>
  <c r="G228" i="1"/>
  <c r="H228" i="1"/>
  <c r="I228" i="1"/>
  <c r="A229" i="1"/>
  <c r="B229" i="1"/>
  <c r="C229" i="1"/>
  <c r="D229" i="1"/>
  <c r="E229" i="1"/>
  <c r="F229" i="1"/>
  <c r="G229" i="1"/>
  <c r="H229" i="1"/>
  <c r="I229" i="1"/>
  <c r="A230" i="1"/>
  <c r="B230" i="1"/>
  <c r="C230" i="1"/>
  <c r="D230" i="1"/>
  <c r="E230" i="1"/>
  <c r="F230" i="1"/>
  <c r="G230" i="1"/>
  <c r="H230" i="1"/>
  <c r="I230" i="1"/>
  <c r="A231" i="1"/>
  <c r="B231" i="1"/>
  <c r="C231" i="1"/>
  <c r="D231" i="1"/>
  <c r="E231" i="1"/>
  <c r="F231" i="1"/>
  <c r="G231" i="1"/>
  <c r="H231" i="1"/>
  <c r="I231" i="1"/>
  <c r="A232" i="1"/>
  <c r="B232" i="1"/>
  <c r="C232" i="1"/>
  <c r="D232" i="1"/>
  <c r="E232" i="1"/>
  <c r="F232" i="1"/>
  <c r="G232" i="1"/>
  <c r="H232" i="1"/>
  <c r="I232" i="1"/>
  <c r="A233" i="1"/>
  <c r="B233" i="1"/>
  <c r="C233" i="1"/>
  <c r="D233" i="1"/>
  <c r="E233" i="1"/>
  <c r="F233" i="1"/>
  <c r="G233" i="1"/>
  <c r="H233" i="1"/>
  <c r="I233" i="1"/>
  <c r="A234" i="1"/>
  <c r="B234" i="1"/>
  <c r="C234" i="1"/>
  <c r="D234" i="1"/>
  <c r="E234" i="1"/>
  <c r="F234" i="1"/>
  <c r="G234" i="1"/>
  <c r="H234" i="1"/>
  <c r="I234" i="1"/>
  <c r="A235" i="1"/>
  <c r="B235" i="1"/>
  <c r="C235" i="1"/>
  <c r="D235" i="1"/>
  <c r="E235" i="1"/>
  <c r="F235" i="1"/>
  <c r="G235" i="1"/>
  <c r="H235" i="1"/>
  <c r="I235" i="1"/>
  <c r="A236" i="1"/>
  <c r="B236" i="1"/>
  <c r="C236" i="1"/>
  <c r="D236" i="1"/>
  <c r="E236" i="1"/>
  <c r="F236" i="1"/>
  <c r="G236" i="1"/>
  <c r="H236" i="1"/>
  <c r="I236" i="1"/>
  <c r="A237" i="1"/>
  <c r="B237" i="1"/>
  <c r="C237" i="1"/>
  <c r="D237" i="1"/>
  <c r="E237" i="1"/>
  <c r="F237" i="1"/>
  <c r="G237" i="1"/>
  <c r="H237" i="1"/>
  <c r="I237" i="1"/>
  <c r="A238" i="1"/>
  <c r="B238" i="1"/>
  <c r="C238" i="1"/>
  <c r="D238" i="1"/>
  <c r="E238" i="1"/>
  <c r="F238" i="1"/>
  <c r="G238" i="1"/>
  <c r="H238" i="1"/>
  <c r="I238" i="1"/>
  <c r="A239" i="1"/>
  <c r="B239" i="1"/>
  <c r="C239" i="1"/>
  <c r="D239" i="1"/>
  <c r="E239" i="1"/>
  <c r="F239" i="1"/>
  <c r="G239" i="1"/>
  <c r="H239" i="1"/>
  <c r="I239" i="1"/>
  <c r="A240" i="1"/>
  <c r="B240" i="1"/>
  <c r="C240" i="1"/>
  <c r="D240" i="1"/>
  <c r="E240" i="1"/>
  <c r="F240" i="1"/>
  <c r="G240" i="1"/>
  <c r="H240" i="1"/>
  <c r="I240" i="1"/>
  <c r="A241" i="1"/>
  <c r="B241" i="1"/>
  <c r="C241" i="1"/>
  <c r="D241" i="1"/>
  <c r="E241" i="1"/>
  <c r="F241" i="1"/>
  <c r="G241" i="1"/>
  <c r="H241" i="1"/>
  <c r="I241" i="1"/>
  <c r="A242" i="1"/>
  <c r="B242" i="1"/>
  <c r="C242" i="1"/>
  <c r="D242" i="1"/>
  <c r="E242" i="1"/>
  <c r="F242" i="1"/>
  <c r="G242" i="1"/>
  <c r="H242" i="1"/>
  <c r="I242" i="1"/>
  <c r="A243" i="1"/>
  <c r="B243" i="1"/>
  <c r="C243" i="1"/>
  <c r="D243" i="1"/>
  <c r="E243" i="1"/>
  <c r="F243" i="1"/>
  <c r="G243" i="1"/>
  <c r="H243" i="1"/>
  <c r="I243" i="1"/>
  <c r="A244" i="1"/>
  <c r="B244" i="1"/>
  <c r="C244" i="1"/>
  <c r="D244" i="1"/>
  <c r="E244" i="1"/>
  <c r="F244" i="1"/>
  <c r="G244" i="1"/>
  <c r="H244" i="1"/>
  <c r="I244" i="1"/>
  <c r="A245" i="1"/>
  <c r="B245" i="1"/>
  <c r="C245" i="1"/>
  <c r="D245" i="1"/>
  <c r="E245" i="1"/>
  <c r="F245" i="1"/>
  <c r="G245" i="1"/>
  <c r="H245" i="1"/>
  <c r="I245" i="1"/>
  <c r="A246" i="1"/>
  <c r="B246" i="1"/>
  <c r="C246" i="1"/>
  <c r="D246" i="1"/>
  <c r="E246" i="1"/>
  <c r="F246" i="1"/>
  <c r="G246" i="1"/>
  <c r="H246" i="1"/>
  <c r="I246" i="1"/>
  <c r="A247" i="1"/>
  <c r="B247" i="1"/>
  <c r="C247" i="1"/>
  <c r="D247" i="1"/>
  <c r="E247" i="1"/>
  <c r="F247" i="1"/>
  <c r="G247" i="1"/>
  <c r="H247" i="1"/>
  <c r="I247" i="1"/>
  <c r="A248" i="1"/>
  <c r="B248" i="1"/>
  <c r="C248" i="1"/>
  <c r="D248" i="1"/>
  <c r="E248" i="1"/>
  <c r="F248" i="1"/>
  <c r="G248" i="1"/>
  <c r="H248" i="1"/>
  <c r="I248" i="1"/>
  <c r="A249" i="1"/>
  <c r="B249" i="1"/>
  <c r="C249" i="1"/>
  <c r="D249" i="1"/>
  <c r="E249" i="1"/>
  <c r="F249" i="1"/>
  <c r="G249" i="1"/>
  <c r="H249" i="1"/>
  <c r="I249" i="1"/>
  <c r="A250" i="1"/>
  <c r="B250" i="1"/>
  <c r="C250" i="1"/>
  <c r="D250" i="1"/>
  <c r="E250" i="1"/>
  <c r="F250" i="1"/>
  <c r="G250" i="1"/>
  <c r="H250" i="1"/>
  <c r="I250" i="1"/>
  <c r="A251" i="1"/>
  <c r="B251" i="1"/>
  <c r="C251" i="1"/>
  <c r="D251" i="1"/>
  <c r="E251" i="1"/>
  <c r="F251" i="1"/>
  <c r="G251" i="1"/>
  <c r="H251" i="1"/>
  <c r="I251" i="1"/>
  <c r="A252" i="1"/>
  <c r="B252" i="1"/>
  <c r="C252" i="1"/>
  <c r="D252" i="1"/>
  <c r="E252" i="1"/>
  <c r="F252" i="1"/>
  <c r="G252" i="1"/>
  <c r="H252" i="1"/>
  <c r="I252" i="1"/>
  <c r="A253" i="1"/>
  <c r="B253" i="1"/>
  <c r="C253" i="1"/>
  <c r="D253" i="1"/>
  <c r="E253" i="1"/>
  <c r="F253" i="1"/>
  <c r="G253" i="1"/>
  <c r="H253" i="1"/>
  <c r="I253" i="1"/>
  <c r="A254" i="1"/>
  <c r="B254" i="1"/>
  <c r="C254" i="1"/>
  <c r="D254" i="1"/>
  <c r="E254" i="1"/>
  <c r="F254" i="1"/>
  <c r="G254" i="1"/>
  <c r="H254" i="1"/>
  <c r="I254" i="1"/>
  <c r="A255" i="1"/>
  <c r="B255" i="1"/>
  <c r="C255" i="1"/>
  <c r="D255" i="1"/>
  <c r="E255" i="1"/>
  <c r="F255" i="1"/>
  <c r="G255" i="1"/>
  <c r="H255" i="1"/>
  <c r="I255" i="1"/>
  <c r="A256" i="1"/>
  <c r="B256" i="1"/>
  <c r="C256" i="1"/>
  <c r="D256" i="1"/>
  <c r="E256" i="1"/>
  <c r="F256" i="1"/>
  <c r="G256" i="1"/>
  <c r="H256" i="1"/>
  <c r="I256" i="1"/>
  <c r="A257" i="1"/>
  <c r="B257" i="1"/>
  <c r="C257" i="1"/>
  <c r="D257" i="1"/>
  <c r="E257" i="1"/>
  <c r="F257" i="1"/>
  <c r="G257" i="1"/>
  <c r="H257" i="1"/>
  <c r="I257" i="1"/>
  <c r="A258" i="1"/>
  <c r="B258" i="1"/>
  <c r="C258" i="1"/>
  <c r="D258" i="1"/>
  <c r="E258" i="1"/>
  <c r="F258" i="1"/>
  <c r="G258" i="1"/>
  <c r="H258" i="1"/>
  <c r="I258" i="1"/>
  <c r="A259" i="1"/>
  <c r="B259" i="1"/>
  <c r="C259" i="1"/>
  <c r="D259" i="1"/>
  <c r="E259" i="1"/>
  <c r="F259" i="1"/>
  <c r="G259" i="1"/>
  <c r="H259" i="1"/>
  <c r="I259" i="1"/>
  <c r="A260" i="1"/>
  <c r="B260" i="1"/>
  <c r="C260" i="1"/>
  <c r="D260" i="1"/>
  <c r="E260" i="1"/>
  <c r="F260" i="1"/>
  <c r="G260" i="1"/>
  <c r="H260" i="1"/>
  <c r="I260" i="1"/>
  <c r="A261" i="1"/>
  <c r="B261" i="1"/>
  <c r="C261" i="1"/>
  <c r="D261" i="1"/>
  <c r="E261" i="1"/>
  <c r="F261" i="1"/>
  <c r="G261" i="1"/>
  <c r="H261" i="1"/>
  <c r="I261" i="1"/>
  <c r="A262" i="1"/>
  <c r="B262" i="1"/>
  <c r="C262" i="1"/>
  <c r="D262" i="1"/>
  <c r="E262" i="1"/>
  <c r="F262" i="1"/>
  <c r="G262" i="1"/>
  <c r="H262" i="1"/>
  <c r="I262" i="1"/>
  <c r="A263" i="1"/>
  <c r="B263" i="1"/>
  <c r="C263" i="1"/>
  <c r="D263" i="1"/>
  <c r="E263" i="1"/>
  <c r="F263" i="1"/>
  <c r="G263" i="1"/>
  <c r="H263" i="1"/>
  <c r="I263" i="1"/>
  <c r="A264" i="1"/>
  <c r="B264" i="1"/>
  <c r="C264" i="1"/>
  <c r="D264" i="1"/>
  <c r="E264" i="1"/>
  <c r="F264" i="1"/>
  <c r="G264" i="1"/>
  <c r="H264" i="1"/>
  <c r="I264" i="1"/>
  <c r="A265" i="1"/>
  <c r="B265" i="1"/>
  <c r="C265" i="1"/>
  <c r="D265" i="1"/>
  <c r="E265" i="1"/>
  <c r="F265" i="1"/>
  <c r="G265" i="1"/>
  <c r="H265" i="1"/>
  <c r="I265" i="1"/>
  <c r="A266" i="1"/>
  <c r="B266" i="1"/>
  <c r="C266" i="1"/>
  <c r="D266" i="1"/>
  <c r="E266" i="1"/>
  <c r="F266" i="1"/>
  <c r="G266" i="1"/>
  <c r="H266" i="1"/>
  <c r="I266" i="1"/>
  <c r="A267" i="1"/>
  <c r="B267" i="1"/>
  <c r="C267" i="1"/>
  <c r="D267" i="1"/>
  <c r="E267" i="1"/>
  <c r="F267" i="1"/>
  <c r="G267" i="1"/>
  <c r="H267" i="1"/>
  <c r="I267" i="1"/>
  <c r="A268" i="1"/>
  <c r="B268" i="1"/>
  <c r="C268" i="1"/>
  <c r="D268" i="1"/>
  <c r="E268" i="1"/>
  <c r="F268" i="1"/>
  <c r="G268" i="1"/>
  <c r="H268" i="1"/>
  <c r="I268" i="1"/>
  <c r="A269" i="1"/>
  <c r="B269" i="1"/>
  <c r="C269" i="1"/>
  <c r="D269" i="1"/>
  <c r="E269" i="1"/>
  <c r="F269" i="1"/>
  <c r="G269" i="1"/>
  <c r="H269" i="1"/>
  <c r="I269" i="1"/>
  <c r="A270" i="1"/>
  <c r="B270" i="1"/>
  <c r="C270" i="1"/>
  <c r="D270" i="1"/>
  <c r="E270" i="1"/>
  <c r="F270" i="1"/>
  <c r="G270" i="1"/>
  <c r="H270" i="1"/>
  <c r="I270" i="1"/>
  <c r="A271" i="1"/>
  <c r="B271" i="1"/>
  <c r="C271" i="1"/>
  <c r="D271" i="1"/>
  <c r="E271" i="1"/>
  <c r="F271" i="1"/>
  <c r="G271" i="1"/>
  <c r="H271" i="1"/>
  <c r="I271" i="1"/>
  <c r="A272" i="1"/>
  <c r="B272" i="1"/>
  <c r="C272" i="1"/>
  <c r="D272" i="1"/>
  <c r="E272" i="1"/>
  <c r="F272" i="1"/>
  <c r="G272" i="1"/>
  <c r="H272" i="1"/>
  <c r="I272" i="1"/>
  <c r="A273" i="1"/>
  <c r="B273" i="1"/>
  <c r="C273" i="1"/>
  <c r="D273" i="1"/>
  <c r="E273" i="1"/>
  <c r="F273" i="1"/>
  <c r="G273" i="1"/>
  <c r="H273" i="1"/>
  <c r="I273" i="1"/>
  <c r="A274" i="1"/>
  <c r="B274" i="1"/>
  <c r="C274" i="1"/>
  <c r="D274" i="1"/>
  <c r="E274" i="1"/>
  <c r="F274" i="1"/>
  <c r="G274" i="1"/>
  <c r="H274" i="1"/>
  <c r="I274" i="1"/>
  <c r="A275" i="1"/>
  <c r="B275" i="1"/>
  <c r="C275" i="1"/>
  <c r="D275" i="1"/>
  <c r="E275" i="1"/>
  <c r="F275" i="1"/>
  <c r="G275" i="1"/>
  <c r="H275" i="1"/>
  <c r="I275" i="1"/>
  <c r="A276" i="1"/>
  <c r="B276" i="1"/>
  <c r="C276" i="1"/>
  <c r="D276" i="1"/>
  <c r="E276" i="1"/>
  <c r="F276" i="1"/>
  <c r="G276" i="1"/>
  <c r="H276" i="1"/>
  <c r="I276" i="1"/>
  <c r="A277" i="1"/>
  <c r="B277" i="1"/>
  <c r="C277" i="1"/>
  <c r="D277" i="1"/>
  <c r="E277" i="1"/>
  <c r="F277" i="1"/>
  <c r="G277" i="1"/>
  <c r="H277" i="1"/>
  <c r="I277" i="1"/>
  <c r="A278" i="1"/>
  <c r="B278" i="1"/>
  <c r="C278" i="1"/>
  <c r="D278" i="1"/>
  <c r="E278" i="1"/>
  <c r="F278" i="1"/>
  <c r="G278" i="1"/>
  <c r="H278" i="1"/>
  <c r="I278" i="1"/>
  <c r="A279" i="1"/>
  <c r="B279" i="1"/>
  <c r="C279" i="1"/>
  <c r="D279" i="1"/>
  <c r="E279" i="1"/>
  <c r="F279" i="1"/>
  <c r="G279" i="1"/>
  <c r="H279" i="1"/>
  <c r="I279" i="1"/>
  <c r="A280" i="1"/>
  <c r="B280" i="1"/>
  <c r="C280" i="1"/>
  <c r="D280" i="1"/>
  <c r="E280" i="1"/>
  <c r="F280" i="1"/>
  <c r="G280" i="1"/>
  <c r="H280" i="1"/>
  <c r="I280" i="1"/>
  <c r="A281" i="1"/>
  <c r="B281" i="1"/>
  <c r="C281" i="1"/>
  <c r="D281" i="1"/>
  <c r="E281" i="1"/>
  <c r="F281" i="1"/>
  <c r="G281" i="1"/>
  <c r="H281" i="1"/>
  <c r="I281" i="1"/>
  <c r="A282" i="1"/>
  <c r="B282" i="1"/>
  <c r="C282" i="1"/>
  <c r="D282" i="1"/>
  <c r="E282" i="1"/>
  <c r="F282" i="1"/>
  <c r="G282" i="1"/>
  <c r="H282" i="1"/>
  <c r="I282" i="1"/>
  <c r="A283" i="1"/>
  <c r="B283" i="1"/>
  <c r="C283" i="1"/>
  <c r="D283" i="1"/>
  <c r="E283" i="1"/>
  <c r="F283" i="1"/>
  <c r="G283" i="1"/>
  <c r="H283" i="1"/>
  <c r="I283" i="1"/>
  <c r="A284" i="1"/>
  <c r="B284" i="1"/>
  <c r="C284" i="1"/>
  <c r="D284" i="1"/>
  <c r="E284" i="1"/>
  <c r="F284" i="1"/>
  <c r="G284" i="1"/>
  <c r="H284" i="1"/>
  <c r="I284" i="1"/>
  <c r="A285" i="1"/>
  <c r="B285" i="1"/>
  <c r="C285" i="1"/>
  <c r="D285" i="1"/>
  <c r="E285" i="1"/>
  <c r="F285" i="1"/>
  <c r="G285" i="1"/>
  <c r="H285" i="1"/>
  <c r="I285" i="1"/>
  <c r="A286" i="1"/>
  <c r="B286" i="1"/>
  <c r="C286" i="1"/>
  <c r="D286" i="1"/>
  <c r="E286" i="1"/>
  <c r="F286" i="1"/>
  <c r="G286" i="1"/>
  <c r="H286" i="1"/>
  <c r="I286" i="1"/>
  <c r="A287" i="1"/>
  <c r="B287" i="1"/>
  <c r="C287" i="1"/>
  <c r="D287" i="1"/>
  <c r="E287" i="1"/>
  <c r="F287" i="1"/>
  <c r="G287" i="1"/>
  <c r="H287" i="1"/>
  <c r="I287" i="1"/>
  <c r="A288" i="1"/>
  <c r="B288" i="1"/>
  <c r="C288" i="1"/>
  <c r="D288" i="1"/>
  <c r="E288" i="1"/>
  <c r="F288" i="1"/>
  <c r="G288" i="1"/>
  <c r="H288" i="1"/>
  <c r="I288" i="1"/>
  <c r="A289" i="1"/>
  <c r="B289" i="1"/>
  <c r="C289" i="1"/>
  <c r="D289" i="1"/>
  <c r="E289" i="1"/>
  <c r="F289" i="1"/>
  <c r="G289" i="1"/>
  <c r="H289" i="1"/>
  <c r="I289" i="1"/>
  <c r="A290" i="1"/>
  <c r="B290" i="1"/>
  <c r="C290" i="1"/>
  <c r="D290" i="1"/>
  <c r="E290" i="1"/>
  <c r="F290" i="1"/>
  <c r="G290" i="1"/>
  <c r="H290" i="1"/>
  <c r="I290" i="1"/>
  <c r="A291" i="1"/>
  <c r="B291" i="1"/>
  <c r="C291" i="1"/>
  <c r="D291" i="1"/>
  <c r="E291" i="1"/>
  <c r="F291" i="1"/>
  <c r="G291" i="1"/>
  <c r="H291" i="1"/>
  <c r="I291" i="1"/>
  <c r="A292" i="1"/>
  <c r="B292" i="1"/>
  <c r="C292" i="1"/>
  <c r="D292" i="1"/>
  <c r="E292" i="1"/>
  <c r="F292" i="1"/>
  <c r="G292" i="1"/>
  <c r="H292" i="1"/>
  <c r="I292" i="1"/>
  <c r="A293" i="1"/>
  <c r="B293" i="1"/>
  <c r="C293" i="1"/>
  <c r="D293" i="1"/>
  <c r="E293" i="1"/>
  <c r="F293" i="1"/>
  <c r="G293" i="1"/>
  <c r="H293" i="1"/>
  <c r="I293" i="1"/>
  <c r="A294" i="1"/>
  <c r="B294" i="1"/>
  <c r="C294" i="1"/>
  <c r="D294" i="1"/>
  <c r="E294" i="1"/>
  <c r="F294" i="1"/>
  <c r="G294" i="1"/>
  <c r="H294" i="1"/>
  <c r="I294" i="1"/>
  <c r="A295" i="1"/>
  <c r="B295" i="1"/>
  <c r="C295" i="1"/>
  <c r="D295" i="1"/>
  <c r="E295" i="1"/>
  <c r="F295" i="1"/>
  <c r="G295" i="1"/>
  <c r="H295" i="1"/>
  <c r="I295" i="1"/>
  <c r="A296" i="1"/>
  <c r="B296" i="1"/>
  <c r="C296" i="1"/>
  <c r="D296" i="1"/>
  <c r="E296" i="1"/>
  <c r="F296" i="1"/>
  <c r="G296" i="1"/>
  <c r="H296" i="1"/>
  <c r="I296" i="1"/>
  <c r="A297" i="1"/>
  <c r="B297" i="1"/>
  <c r="C297" i="1"/>
  <c r="D297" i="1"/>
  <c r="E297" i="1"/>
  <c r="F297" i="1"/>
  <c r="G297" i="1"/>
  <c r="H297" i="1"/>
  <c r="I297" i="1"/>
  <c r="A298" i="1"/>
  <c r="B298" i="1"/>
  <c r="C298" i="1"/>
  <c r="D298" i="1"/>
  <c r="E298" i="1"/>
  <c r="F298" i="1"/>
  <c r="G298" i="1"/>
  <c r="H298" i="1"/>
  <c r="I298" i="1"/>
  <c r="A299" i="1"/>
  <c r="B299" i="1"/>
  <c r="C299" i="1"/>
  <c r="D299" i="1"/>
  <c r="E299" i="1"/>
  <c r="F299" i="1"/>
  <c r="G299" i="1"/>
  <c r="H299" i="1"/>
  <c r="I299" i="1"/>
  <c r="A300" i="1"/>
  <c r="B300" i="1"/>
  <c r="C300" i="1"/>
  <c r="D300" i="1"/>
  <c r="E300" i="1"/>
  <c r="F300" i="1"/>
  <c r="G300" i="1"/>
  <c r="H300" i="1"/>
  <c r="I300" i="1"/>
  <c r="A301" i="1"/>
  <c r="B301" i="1"/>
  <c r="C301" i="1"/>
  <c r="D301" i="1"/>
  <c r="E301" i="1"/>
  <c r="F301" i="1"/>
  <c r="G301" i="1"/>
  <c r="H301" i="1"/>
  <c r="I301" i="1"/>
  <c r="A302" i="1"/>
  <c r="B302" i="1"/>
  <c r="C302" i="1"/>
  <c r="D302" i="1"/>
  <c r="E302" i="1"/>
  <c r="F302" i="1"/>
  <c r="G302" i="1"/>
  <c r="H302" i="1"/>
  <c r="I302" i="1"/>
  <c r="A303" i="1"/>
  <c r="B303" i="1"/>
  <c r="C303" i="1"/>
  <c r="D303" i="1"/>
  <c r="E303" i="1"/>
  <c r="F303" i="1"/>
  <c r="G303" i="1"/>
  <c r="H303" i="1"/>
  <c r="I303" i="1"/>
  <c r="A304" i="1"/>
  <c r="B304" i="1"/>
  <c r="C304" i="1"/>
  <c r="D304" i="1"/>
  <c r="E304" i="1"/>
  <c r="F304" i="1"/>
  <c r="G304" i="1"/>
  <c r="H304" i="1"/>
  <c r="I304" i="1"/>
  <c r="A305" i="1"/>
  <c r="B305" i="1"/>
  <c r="C305" i="1"/>
  <c r="D305" i="1"/>
  <c r="E305" i="1"/>
  <c r="F305" i="1"/>
  <c r="G305" i="1"/>
  <c r="H305" i="1"/>
  <c r="I305" i="1"/>
  <c r="A306" i="1"/>
  <c r="B306" i="1"/>
  <c r="C306" i="1"/>
  <c r="D306" i="1"/>
  <c r="E306" i="1"/>
  <c r="F306" i="1"/>
  <c r="G306" i="1"/>
  <c r="H306" i="1"/>
  <c r="I306" i="1"/>
  <c r="A307" i="1"/>
  <c r="B307" i="1"/>
  <c r="C307" i="1"/>
  <c r="D307" i="1"/>
  <c r="E307" i="1"/>
  <c r="F307" i="1"/>
  <c r="G307" i="1"/>
  <c r="H307" i="1"/>
  <c r="I307" i="1"/>
  <c r="A308" i="1"/>
  <c r="B308" i="1"/>
  <c r="C308" i="1"/>
  <c r="D308" i="1"/>
  <c r="E308" i="1"/>
  <c r="F308" i="1"/>
  <c r="G308" i="1"/>
  <c r="H308" i="1"/>
  <c r="I308" i="1"/>
  <c r="A309" i="1"/>
  <c r="B309" i="1"/>
  <c r="C309" i="1"/>
  <c r="D309" i="1"/>
  <c r="E309" i="1"/>
  <c r="F309" i="1"/>
  <c r="G309" i="1"/>
  <c r="H309" i="1"/>
  <c r="I309" i="1"/>
  <c r="A310" i="1"/>
  <c r="B310" i="1"/>
  <c r="C310" i="1"/>
  <c r="D310" i="1"/>
  <c r="E310" i="1"/>
  <c r="F310" i="1"/>
  <c r="G310" i="1"/>
  <c r="H310" i="1"/>
  <c r="I310" i="1"/>
  <c r="A311" i="1"/>
  <c r="B311" i="1"/>
  <c r="C311" i="1"/>
  <c r="D311" i="1"/>
  <c r="E311" i="1"/>
  <c r="F311" i="1"/>
  <c r="G311" i="1"/>
  <c r="H311" i="1"/>
  <c r="I311" i="1"/>
  <c r="A312" i="1"/>
  <c r="B312" i="1"/>
  <c r="C312" i="1"/>
  <c r="D312" i="1"/>
  <c r="E312" i="1"/>
  <c r="F312" i="1"/>
  <c r="G312" i="1"/>
  <c r="H312" i="1"/>
  <c r="I312" i="1"/>
  <c r="A313" i="1"/>
  <c r="B313" i="1"/>
  <c r="C313" i="1"/>
  <c r="D313" i="1"/>
  <c r="E313" i="1"/>
  <c r="F313" i="1"/>
  <c r="G313" i="1"/>
  <c r="H313" i="1"/>
  <c r="I313" i="1"/>
  <c r="A314" i="1"/>
  <c r="B314" i="1"/>
  <c r="C314" i="1"/>
  <c r="D314" i="1"/>
  <c r="E314" i="1"/>
  <c r="F314" i="1"/>
  <c r="G314" i="1"/>
  <c r="H314" i="1"/>
  <c r="I314" i="1"/>
  <c r="A315" i="1"/>
  <c r="B315" i="1"/>
  <c r="C315" i="1"/>
  <c r="D315" i="1"/>
  <c r="E315" i="1"/>
  <c r="F315" i="1"/>
  <c r="G315" i="1"/>
  <c r="H315" i="1"/>
  <c r="I315" i="1"/>
  <c r="A316" i="1"/>
  <c r="B316" i="1"/>
  <c r="C316" i="1"/>
  <c r="D316" i="1"/>
  <c r="E316" i="1"/>
  <c r="F316" i="1"/>
  <c r="G316" i="1"/>
  <c r="H316" i="1"/>
  <c r="I316" i="1"/>
  <c r="A317" i="1"/>
  <c r="B317" i="1"/>
  <c r="C317" i="1"/>
  <c r="D317" i="1"/>
  <c r="E317" i="1"/>
  <c r="F317" i="1"/>
  <c r="G317" i="1"/>
  <c r="H317" i="1"/>
  <c r="I317" i="1"/>
  <c r="A318" i="1"/>
  <c r="B318" i="1"/>
  <c r="C318" i="1"/>
  <c r="D318" i="1"/>
  <c r="E318" i="1"/>
  <c r="F318" i="1"/>
  <c r="G318" i="1"/>
  <c r="H318" i="1"/>
  <c r="I318" i="1"/>
  <c r="A319" i="1"/>
  <c r="B319" i="1"/>
  <c r="C319" i="1"/>
  <c r="D319" i="1"/>
  <c r="E319" i="1"/>
  <c r="F319" i="1"/>
  <c r="G319" i="1"/>
  <c r="H319" i="1"/>
  <c r="I319" i="1"/>
  <c r="A320" i="1"/>
  <c r="B320" i="1"/>
  <c r="C320" i="1"/>
  <c r="D320" i="1"/>
  <c r="E320" i="1"/>
  <c r="F320" i="1"/>
  <c r="G320" i="1"/>
  <c r="H320" i="1"/>
  <c r="I320" i="1"/>
  <c r="A321" i="1"/>
  <c r="B321" i="1"/>
  <c r="C321" i="1"/>
  <c r="D321" i="1"/>
  <c r="E321" i="1"/>
  <c r="F321" i="1"/>
  <c r="G321" i="1"/>
  <c r="H321" i="1"/>
  <c r="I321" i="1"/>
  <c r="A322" i="1"/>
  <c r="B322" i="1"/>
  <c r="C322" i="1"/>
  <c r="D322" i="1"/>
  <c r="E322" i="1"/>
  <c r="F322" i="1"/>
  <c r="G322" i="1"/>
  <c r="H322" i="1"/>
  <c r="I322" i="1"/>
  <c r="A323" i="1"/>
  <c r="B323" i="1"/>
  <c r="C323" i="1"/>
  <c r="D323" i="1"/>
  <c r="E323" i="1"/>
  <c r="F323" i="1"/>
  <c r="G323" i="1"/>
  <c r="H323" i="1"/>
  <c r="I323" i="1"/>
  <c r="A324" i="1"/>
  <c r="B324" i="1"/>
  <c r="C324" i="1"/>
  <c r="D324" i="1"/>
  <c r="E324" i="1"/>
  <c r="F324" i="1"/>
  <c r="G324" i="1"/>
  <c r="H324" i="1"/>
  <c r="I324" i="1"/>
  <c r="A325" i="1"/>
  <c r="B325" i="1"/>
  <c r="C325" i="1"/>
  <c r="D325" i="1"/>
  <c r="E325" i="1"/>
  <c r="F325" i="1"/>
  <c r="G325" i="1"/>
  <c r="H325" i="1"/>
  <c r="I325" i="1"/>
  <c r="A326" i="1"/>
  <c r="B326" i="1"/>
  <c r="C326" i="1"/>
  <c r="D326" i="1"/>
  <c r="E326" i="1"/>
  <c r="F326" i="1"/>
  <c r="G326" i="1"/>
  <c r="H326" i="1"/>
  <c r="I326" i="1"/>
  <c r="A327" i="1"/>
  <c r="B327" i="1"/>
  <c r="C327" i="1"/>
  <c r="D327" i="1"/>
  <c r="E327" i="1"/>
  <c r="F327" i="1"/>
  <c r="G327" i="1"/>
  <c r="H327" i="1"/>
  <c r="I327" i="1"/>
  <c r="A328" i="1"/>
  <c r="B328" i="1"/>
  <c r="C328" i="1"/>
  <c r="D328" i="1"/>
  <c r="E328" i="1"/>
  <c r="F328" i="1"/>
  <c r="G328" i="1"/>
  <c r="H328" i="1"/>
  <c r="I328" i="1"/>
  <c r="A329" i="1"/>
  <c r="B329" i="1"/>
  <c r="C329" i="1"/>
  <c r="D329" i="1"/>
  <c r="E329" i="1"/>
  <c r="F329" i="1"/>
  <c r="G329" i="1"/>
  <c r="H329" i="1"/>
  <c r="I329" i="1"/>
  <c r="A330" i="1"/>
  <c r="B330" i="1"/>
  <c r="C330" i="1"/>
  <c r="D330" i="1"/>
  <c r="E330" i="1"/>
  <c r="F330" i="1"/>
  <c r="G330" i="1"/>
  <c r="H330" i="1"/>
  <c r="I330" i="1"/>
  <c r="A331" i="1"/>
  <c r="B331" i="1"/>
  <c r="C331" i="1"/>
  <c r="D331" i="1"/>
  <c r="E331" i="1"/>
  <c r="F331" i="1"/>
  <c r="G331" i="1"/>
  <c r="H331" i="1"/>
  <c r="I331" i="1"/>
  <c r="A332" i="1"/>
  <c r="B332" i="1"/>
  <c r="C332" i="1"/>
  <c r="D332" i="1"/>
  <c r="E332" i="1"/>
  <c r="F332" i="1"/>
  <c r="G332" i="1"/>
  <c r="H332" i="1"/>
  <c r="I332" i="1"/>
  <c r="A333" i="1"/>
  <c r="B333" i="1"/>
  <c r="C333" i="1"/>
  <c r="D333" i="1"/>
  <c r="E333" i="1"/>
  <c r="F333" i="1"/>
  <c r="G333" i="1"/>
  <c r="H333" i="1"/>
  <c r="I333" i="1"/>
  <c r="A334" i="1"/>
  <c r="B334" i="1"/>
  <c r="C334" i="1"/>
  <c r="D334" i="1"/>
  <c r="E334" i="1"/>
  <c r="F334" i="1"/>
  <c r="G334" i="1"/>
  <c r="H334" i="1"/>
  <c r="I334" i="1"/>
  <c r="A335" i="1"/>
  <c r="B335" i="1"/>
  <c r="C335" i="1"/>
  <c r="D335" i="1"/>
  <c r="E335" i="1"/>
  <c r="F335" i="1"/>
  <c r="G335" i="1"/>
  <c r="H335" i="1"/>
  <c r="I335" i="1"/>
  <c r="A336" i="1"/>
  <c r="B336" i="1"/>
  <c r="C336" i="1"/>
  <c r="D336" i="1"/>
  <c r="E336" i="1"/>
  <c r="F336" i="1"/>
  <c r="G336" i="1"/>
  <c r="H336" i="1"/>
  <c r="I336" i="1"/>
  <c r="A337" i="1"/>
  <c r="B337" i="1"/>
  <c r="C337" i="1"/>
  <c r="D337" i="1"/>
  <c r="E337" i="1"/>
  <c r="F337" i="1"/>
  <c r="G337" i="1"/>
  <c r="H337" i="1"/>
  <c r="I337" i="1"/>
  <c r="A338" i="1"/>
  <c r="B338" i="1"/>
  <c r="C338" i="1"/>
  <c r="D338" i="1"/>
  <c r="E338" i="1"/>
  <c r="F338" i="1"/>
  <c r="G338" i="1"/>
  <c r="H338" i="1"/>
  <c r="I338" i="1"/>
  <c r="A339" i="1"/>
  <c r="B339" i="1"/>
  <c r="C339" i="1"/>
  <c r="D339" i="1"/>
  <c r="E339" i="1"/>
  <c r="F339" i="1"/>
  <c r="G339" i="1"/>
  <c r="H339" i="1"/>
  <c r="I339" i="1"/>
  <c r="A340" i="1"/>
  <c r="B340" i="1"/>
  <c r="C340" i="1"/>
  <c r="D340" i="1"/>
  <c r="E340" i="1"/>
  <c r="F340" i="1"/>
  <c r="G340" i="1"/>
  <c r="H340" i="1"/>
  <c r="I340" i="1"/>
  <c r="A341" i="1"/>
  <c r="B341" i="1"/>
  <c r="C341" i="1"/>
  <c r="D341" i="1"/>
  <c r="E341" i="1"/>
  <c r="F341" i="1"/>
  <c r="G341" i="1"/>
  <c r="H341" i="1"/>
  <c r="I341" i="1"/>
  <c r="A342" i="1"/>
  <c r="B342" i="1"/>
  <c r="C342" i="1"/>
  <c r="D342" i="1"/>
  <c r="E342" i="1"/>
  <c r="F342" i="1"/>
  <c r="G342" i="1"/>
  <c r="H342" i="1"/>
  <c r="I342" i="1"/>
  <c r="A343" i="1"/>
  <c r="B343" i="1"/>
  <c r="C343" i="1"/>
  <c r="D343" i="1"/>
  <c r="E343" i="1"/>
  <c r="F343" i="1"/>
  <c r="G343" i="1"/>
  <c r="H343" i="1"/>
  <c r="I343" i="1"/>
  <c r="A344" i="1"/>
  <c r="B344" i="1"/>
  <c r="C344" i="1"/>
  <c r="D344" i="1"/>
  <c r="E344" i="1"/>
  <c r="F344" i="1"/>
  <c r="G344" i="1"/>
  <c r="H344" i="1"/>
  <c r="I344" i="1"/>
  <c r="A345" i="1"/>
  <c r="B345" i="1"/>
  <c r="C345" i="1"/>
  <c r="D345" i="1"/>
  <c r="E345" i="1"/>
  <c r="F345" i="1"/>
  <c r="G345" i="1"/>
  <c r="H345" i="1"/>
  <c r="I345" i="1"/>
  <c r="A346" i="1"/>
  <c r="B346" i="1"/>
  <c r="C346" i="1"/>
  <c r="D346" i="1"/>
  <c r="E346" i="1"/>
  <c r="F346" i="1"/>
  <c r="G346" i="1"/>
  <c r="H346" i="1"/>
  <c r="I346" i="1"/>
  <c r="A347" i="1"/>
  <c r="B347" i="1"/>
  <c r="C347" i="1"/>
  <c r="D347" i="1"/>
  <c r="E347" i="1"/>
  <c r="F347" i="1"/>
  <c r="G347" i="1"/>
  <c r="H347" i="1"/>
  <c r="I347" i="1"/>
  <c r="A348" i="1"/>
  <c r="B348" i="1"/>
  <c r="C348" i="1"/>
  <c r="D348" i="1"/>
  <c r="E348" i="1"/>
  <c r="F348" i="1"/>
  <c r="G348" i="1"/>
  <c r="H348" i="1"/>
  <c r="I348" i="1"/>
  <c r="A349" i="1"/>
  <c r="B349" i="1"/>
  <c r="C349" i="1"/>
  <c r="D349" i="1"/>
  <c r="E349" i="1"/>
  <c r="F349" i="1"/>
  <c r="G349" i="1"/>
  <c r="H349" i="1"/>
  <c r="I349" i="1"/>
  <c r="A350" i="1"/>
  <c r="B350" i="1"/>
  <c r="C350" i="1"/>
  <c r="D350" i="1"/>
  <c r="E350" i="1"/>
  <c r="F350" i="1"/>
  <c r="G350" i="1"/>
  <c r="H350" i="1"/>
  <c r="I350" i="1"/>
  <c r="A351" i="1"/>
  <c r="B351" i="1"/>
  <c r="C351" i="1"/>
  <c r="D351" i="1"/>
  <c r="E351" i="1"/>
  <c r="F351" i="1"/>
  <c r="G351" i="1"/>
  <c r="H351" i="1"/>
  <c r="I351" i="1"/>
  <c r="A352" i="1"/>
  <c r="B352" i="1"/>
  <c r="C352" i="1"/>
  <c r="D352" i="1"/>
  <c r="E352" i="1"/>
  <c r="F352" i="1"/>
  <c r="G352" i="1"/>
  <c r="H352" i="1"/>
  <c r="I352" i="1"/>
  <c r="A353" i="1"/>
  <c r="B353" i="1"/>
  <c r="C353" i="1"/>
  <c r="D353" i="1"/>
  <c r="E353" i="1"/>
  <c r="F353" i="1"/>
  <c r="G353" i="1"/>
  <c r="H353" i="1"/>
  <c r="I353" i="1"/>
  <c r="A354" i="1"/>
  <c r="B354" i="1"/>
  <c r="C354" i="1"/>
  <c r="D354" i="1"/>
  <c r="E354" i="1"/>
  <c r="F354" i="1"/>
  <c r="G354" i="1"/>
  <c r="H354" i="1"/>
  <c r="I354" i="1"/>
  <c r="A355" i="1"/>
  <c r="B355" i="1"/>
  <c r="C355" i="1"/>
  <c r="D355" i="1"/>
  <c r="E355" i="1"/>
  <c r="F355" i="1"/>
  <c r="G355" i="1"/>
  <c r="H355" i="1"/>
  <c r="I355" i="1"/>
  <c r="A356" i="1"/>
  <c r="B356" i="1"/>
  <c r="C356" i="1"/>
  <c r="D356" i="1"/>
  <c r="E356" i="1"/>
  <c r="F356" i="1"/>
  <c r="G356" i="1"/>
  <c r="H356" i="1"/>
  <c r="I356" i="1"/>
  <c r="A357" i="1"/>
  <c r="B357" i="1"/>
  <c r="C357" i="1"/>
  <c r="D357" i="1"/>
  <c r="E357" i="1"/>
  <c r="F357" i="1"/>
  <c r="G357" i="1"/>
  <c r="H357" i="1"/>
  <c r="I357" i="1"/>
  <c r="A358" i="1"/>
  <c r="B358" i="1"/>
  <c r="C358" i="1"/>
  <c r="D358" i="1"/>
  <c r="E358" i="1"/>
  <c r="F358" i="1"/>
  <c r="G358" i="1"/>
  <c r="H358" i="1"/>
  <c r="I358" i="1"/>
  <c r="A359" i="1"/>
  <c r="B359" i="1"/>
  <c r="C359" i="1"/>
  <c r="D359" i="1"/>
  <c r="E359" i="1"/>
  <c r="F359" i="1"/>
  <c r="G359" i="1"/>
  <c r="H359" i="1"/>
  <c r="I359" i="1"/>
  <c r="A360" i="1"/>
  <c r="B360" i="1"/>
  <c r="C360" i="1"/>
  <c r="D360" i="1"/>
  <c r="E360" i="1"/>
  <c r="F360" i="1"/>
  <c r="G360" i="1"/>
  <c r="H360" i="1"/>
  <c r="I360" i="1"/>
  <c r="A361" i="1"/>
  <c r="B361" i="1"/>
  <c r="C361" i="1"/>
  <c r="D361" i="1"/>
  <c r="E361" i="1"/>
  <c r="F361" i="1"/>
  <c r="G361" i="1"/>
  <c r="H361" i="1"/>
  <c r="I361" i="1"/>
  <c r="A362" i="1"/>
  <c r="B362" i="1"/>
  <c r="C362" i="1"/>
  <c r="D362" i="1"/>
  <c r="E362" i="1"/>
  <c r="F362" i="1"/>
  <c r="G362" i="1"/>
  <c r="H362" i="1"/>
  <c r="I362" i="1"/>
  <c r="A363" i="1"/>
  <c r="B363" i="1"/>
  <c r="C363" i="1"/>
  <c r="D363" i="1"/>
  <c r="E363" i="1"/>
  <c r="F363" i="1"/>
  <c r="G363" i="1"/>
  <c r="H363" i="1"/>
  <c r="I363" i="1"/>
  <c r="A364" i="1"/>
  <c r="B364" i="1"/>
  <c r="C364" i="1"/>
  <c r="D364" i="1"/>
  <c r="E364" i="1"/>
  <c r="F364" i="1"/>
  <c r="G364" i="1"/>
  <c r="H364" i="1"/>
  <c r="I364" i="1"/>
  <c r="A365" i="1"/>
  <c r="B365" i="1"/>
  <c r="C365" i="1"/>
  <c r="D365" i="1"/>
  <c r="E365" i="1"/>
  <c r="F365" i="1"/>
  <c r="G365" i="1"/>
  <c r="H365" i="1"/>
  <c r="I365" i="1"/>
  <c r="A366" i="1"/>
  <c r="B366" i="1"/>
  <c r="C366" i="1"/>
  <c r="D366" i="1"/>
  <c r="E366" i="1"/>
  <c r="F366" i="1"/>
  <c r="G366" i="1"/>
  <c r="H366" i="1"/>
  <c r="I366" i="1"/>
  <c r="A367" i="1"/>
  <c r="B367" i="1"/>
  <c r="C367" i="1"/>
  <c r="D367" i="1"/>
  <c r="E367" i="1"/>
  <c r="F367" i="1"/>
  <c r="G367" i="1"/>
  <c r="H367" i="1"/>
  <c r="I367" i="1"/>
  <c r="A368" i="1"/>
  <c r="B368" i="1"/>
  <c r="C368" i="1"/>
  <c r="D368" i="1"/>
  <c r="E368" i="1"/>
  <c r="F368" i="1"/>
  <c r="G368" i="1"/>
  <c r="H368" i="1"/>
  <c r="I368" i="1"/>
  <c r="A369" i="1"/>
  <c r="B369" i="1"/>
  <c r="C369" i="1"/>
  <c r="D369" i="1"/>
  <c r="E369" i="1"/>
  <c r="F369" i="1"/>
  <c r="G369" i="1"/>
  <c r="H369" i="1"/>
  <c r="I369" i="1"/>
  <c r="A370" i="1"/>
  <c r="B370" i="1"/>
  <c r="C370" i="1"/>
  <c r="D370" i="1"/>
  <c r="E370" i="1"/>
  <c r="F370" i="1"/>
  <c r="G370" i="1"/>
  <c r="H370" i="1"/>
  <c r="I370" i="1"/>
  <c r="A371" i="1"/>
  <c r="B371" i="1"/>
  <c r="C371" i="1"/>
  <c r="D371" i="1"/>
  <c r="E371" i="1"/>
  <c r="F371" i="1"/>
  <c r="G371" i="1"/>
  <c r="H371" i="1"/>
  <c r="I371" i="1"/>
  <c r="A372" i="1"/>
  <c r="B372" i="1"/>
  <c r="C372" i="1"/>
  <c r="D372" i="1"/>
  <c r="E372" i="1"/>
  <c r="F372" i="1"/>
  <c r="G372" i="1"/>
  <c r="H372" i="1"/>
  <c r="I372" i="1"/>
  <c r="A373" i="1"/>
  <c r="B373" i="1"/>
  <c r="C373" i="1"/>
  <c r="D373" i="1"/>
  <c r="E373" i="1"/>
  <c r="F373" i="1"/>
  <c r="G373" i="1"/>
  <c r="H373" i="1"/>
  <c r="I373" i="1"/>
  <c r="A374" i="1"/>
  <c r="B374" i="1"/>
  <c r="C374" i="1"/>
  <c r="D374" i="1"/>
  <c r="E374" i="1"/>
  <c r="F374" i="1"/>
  <c r="G374" i="1"/>
  <c r="H374" i="1"/>
  <c r="I374" i="1"/>
  <c r="A375" i="1"/>
  <c r="B375" i="1"/>
  <c r="C375" i="1"/>
  <c r="D375" i="1"/>
  <c r="E375" i="1"/>
  <c r="F375" i="1"/>
  <c r="G375" i="1"/>
  <c r="H375" i="1"/>
  <c r="I375" i="1"/>
  <c r="A376" i="1"/>
  <c r="B376" i="1"/>
  <c r="C376" i="1"/>
  <c r="D376" i="1"/>
  <c r="E376" i="1"/>
  <c r="F376" i="1"/>
  <c r="G376" i="1"/>
  <c r="H376" i="1"/>
  <c r="I376" i="1"/>
  <c r="A377" i="1"/>
  <c r="B377" i="1"/>
  <c r="C377" i="1"/>
  <c r="D377" i="1"/>
  <c r="E377" i="1"/>
  <c r="F377" i="1"/>
  <c r="G377" i="1"/>
  <c r="H377" i="1"/>
  <c r="I377" i="1"/>
  <c r="A378" i="1"/>
  <c r="B378" i="1"/>
  <c r="C378" i="1"/>
  <c r="D378" i="1"/>
  <c r="E378" i="1"/>
  <c r="F378" i="1"/>
  <c r="G378" i="1"/>
  <c r="H378" i="1"/>
  <c r="I378" i="1"/>
  <c r="A379" i="1"/>
  <c r="B379" i="1"/>
  <c r="C379" i="1"/>
  <c r="D379" i="1"/>
  <c r="E379" i="1"/>
  <c r="F379" i="1"/>
  <c r="G379" i="1"/>
  <c r="H379" i="1"/>
  <c r="I379" i="1"/>
  <c r="A380" i="1"/>
  <c r="B380" i="1"/>
  <c r="C380" i="1"/>
  <c r="D380" i="1"/>
  <c r="E380" i="1"/>
  <c r="F380" i="1"/>
  <c r="G380" i="1"/>
  <c r="H380" i="1"/>
  <c r="I380" i="1"/>
  <c r="A381" i="1"/>
  <c r="B381" i="1"/>
  <c r="C381" i="1"/>
  <c r="D381" i="1"/>
  <c r="E381" i="1"/>
  <c r="F381" i="1"/>
  <c r="G381" i="1"/>
  <c r="H381" i="1"/>
  <c r="I381" i="1"/>
  <c r="A382" i="1"/>
  <c r="B382" i="1"/>
  <c r="C382" i="1"/>
  <c r="D382" i="1"/>
  <c r="E382" i="1"/>
  <c r="F382" i="1"/>
  <c r="G382" i="1"/>
  <c r="H382" i="1"/>
  <c r="I382" i="1"/>
  <c r="A383" i="1"/>
  <c r="B383" i="1"/>
  <c r="C383" i="1"/>
  <c r="D383" i="1"/>
  <c r="E383" i="1"/>
  <c r="F383" i="1"/>
  <c r="G383" i="1"/>
  <c r="H383" i="1"/>
  <c r="I383" i="1"/>
  <c r="A384" i="1"/>
  <c r="B384" i="1"/>
  <c r="C384" i="1"/>
  <c r="D384" i="1"/>
  <c r="E384" i="1"/>
  <c r="F384" i="1"/>
  <c r="G384" i="1"/>
  <c r="H384" i="1"/>
  <c r="I384" i="1"/>
  <c r="A385" i="1"/>
  <c r="B385" i="1"/>
  <c r="C385" i="1"/>
  <c r="D385" i="1"/>
  <c r="E385" i="1"/>
  <c r="F385" i="1"/>
  <c r="G385" i="1"/>
  <c r="H385" i="1"/>
  <c r="I385" i="1"/>
  <c r="A386" i="1"/>
  <c r="B386" i="1"/>
  <c r="C386" i="1"/>
  <c r="D386" i="1"/>
  <c r="E386" i="1"/>
  <c r="F386" i="1"/>
  <c r="G386" i="1"/>
  <c r="H386" i="1"/>
  <c r="I386" i="1"/>
  <c r="A387" i="1"/>
  <c r="B387" i="1"/>
  <c r="C387" i="1"/>
  <c r="D387" i="1"/>
  <c r="E387" i="1"/>
  <c r="F387" i="1"/>
  <c r="G387" i="1"/>
  <c r="H387" i="1"/>
  <c r="I387" i="1"/>
  <c r="A388" i="1"/>
  <c r="B388" i="1"/>
  <c r="C388" i="1"/>
  <c r="D388" i="1"/>
  <c r="E388" i="1"/>
  <c r="F388" i="1"/>
  <c r="G388" i="1"/>
  <c r="H388" i="1"/>
  <c r="I388" i="1"/>
  <c r="A389" i="1"/>
  <c r="B389" i="1"/>
  <c r="C389" i="1"/>
  <c r="D389" i="1"/>
  <c r="E389" i="1"/>
  <c r="F389" i="1"/>
  <c r="G389" i="1"/>
  <c r="H389" i="1"/>
  <c r="I389" i="1"/>
  <c r="A390" i="1"/>
  <c r="B390" i="1"/>
  <c r="C390" i="1"/>
  <c r="D390" i="1"/>
  <c r="E390" i="1"/>
  <c r="F390" i="1"/>
  <c r="G390" i="1"/>
  <c r="H390" i="1"/>
  <c r="I390" i="1"/>
  <c r="A391" i="1"/>
  <c r="B391" i="1"/>
  <c r="C391" i="1"/>
  <c r="D391" i="1"/>
  <c r="E391" i="1"/>
  <c r="F391" i="1"/>
  <c r="G391" i="1"/>
  <c r="H391" i="1"/>
  <c r="I391" i="1"/>
  <c r="A392" i="1"/>
  <c r="B392" i="1"/>
  <c r="C392" i="1"/>
  <c r="D392" i="1"/>
  <c r="E392" i="1"/>
  <c r="F392" i="1"/>
  <c r="G392" i="1"/>
  <c r="H392" i="1"/>
  <c r="I392" i="1"/>
  <c r="A393" i="1"/>
  <c r="B393" i="1"/>
  <c r="C393" i="1"/>
  <c r="D393" i="1"/>
  <c r="E393" i="1"/>
  <c r="F393" i="1"/>
  <c r="G393" i="1"/>
  <c r="H393" i="1"/>
  <c r="I393" i="1"/>
  <c r="A394" i="1"/>
  <c r="B394" i="1"/>
  <c r="C394" i="1"/>
  <c r="D394" i="1"/>
  <c r="E394" i="1"/>
  <c r="F394" i="1"/>
  <c r="G394" i="1"/>
  <c r="H394" i="1"/>
  <c r="I394" i="1"/>
  <c r="A395" i="1"/>
  <c r="B395" i="1"/>
  <c r="C395" i="1"/>
  <c r="D395" i="1"/>
  <c r="E395" i="1"/>
  <c r="F395" i="1"/>
  <c r="G395" i="1"/>
  <c r="H395" i="1"/>
  <c r="I395" i="1"/>
  <c r="A396" i="1"/>
  <c r="B396" i="1"/>
  <c r="C396" i="1"/>
  <c r="D396" i="1"/>
  <c r="E396" i="1"/>
  <c r="F396" i="1"/>
  <c r="G396" i="1"/>
  <c r="H396" i="1"/>
  <c r="I396" i="1"/>
  <c r="A397" i="1"/>
  <c r="B397" i="1"/>
  <c r="C397" i="1"/>
  <c r="D397" i="1"/>
  <c r="E397" i="1"/>
  <c r="F397" i="1"/>
  <c r="G397" i="1"/>
  <c r="H397" i="1"/>
  <c r="I397" i="1"/>
  <c r="A398" i="1"/>
  <c r="B398" i="1"/>
  <c r="C398" i="1"/>
  <c r="D398" i="1"/>
  <c r="E398" i="1"/>
  <c r="F398" i="1"/>
  <c r="G398" i="1"/>
  <c r="H398" i="1"/>
  <c r="I398" i="1"/>
  <c r="A399" i="1"/>
  <c r="B399" i="1"/>
  <c r="C399" i="1"/>
  <c r="D399" i="1"/>
  <c r="E399" i="1"/>
  <c r="F399" i="1"/>
  <c r="G399" i="1"/>
  <c r="H399" i="1"/>
  <c r="I399" i="1"/>
  <c r="A400" i="1"/>
  <c r="B400" i="1"/>
  <c r="C400" i="1"/>
  <c r="D400" i="1"/>
  <c r="E400" i="1"/>
  <c r="F400" i="1"/>
  <c r="G400" i="1"/>
  <c r="H400" i="1"/>
  <c r="I400" i="1"/>
  <c r="A401" i="1"/>
  <c r="B401" i="1"/>
  <c r="C401" i="1"/>
  <c r="D401" i="1"/>
  <c r="E401" i="1"/>
  <c r="F401" i="1"/>
  <c r="G401" i="1"/>
  <c r="H401" i="1"/>
  <c r="I401" i="1"/>
  <c r="A402" i="1"/>
  <c r="B402" i="1"/>
  <c r="C402" i="1"/>
  <c r="D402" i="1"/>
  <c r="E402" i="1"/>
  <c r="F402" i="1"/>
  <c r="G402" i="1"/>
  <c r="H402" i="1"/>
  <c r="I402" i="1"/>
  <c r="A403" i="1"/>
  <c r="B403" i="1"/>
  <c r="C403" i="1"/>
  <c r="D403" i="1"/>
  <c r="E403" i="1"/>
  <c r="F403" i="1"/>
  <c r="G403" i="1"/>
  <c r="H403" i="1"/>
  <c r="I403" i="1"/>
  <c r="A404" i="1"/>
  <c r="B404" i="1"/>
  <c r="C404" i="1"/>
  <c r="D404" i="1"/>
  <c r="E404" i="1"/>
  <c r="F404" i="1"/>
  <c r="G404" i="1"/>
  <c r="H404" i="1"/>
  <c r="I404" i="1"/>
  <c r="A405" i="1"/>
  <c r="B405" i="1"/>
  <c r="C405" i="1"/>
  <c r="D405" i="1"/>
  <c r="E405" i="1"/>
  <c r="F405" i="1"/>
  <c r="G405" i="1"/>
  <c r="H405" i="1"/>
  <c r="I405" i="1"/>
  <c r="A406" i="1"/>
  <c r="B406" i="1"/>
  <c r="C406" i="1"/>
  <c r="D406" i="1"/>
  <c r="E406" i="1"/>
  <c r="F406" i="1"/>
  <c r="G406" i="1"/>
  <c r="H406" i="1"/>
  <c r="I406" i="1"/>
  <c r="A407" i="1"/>
  <c r="B407" i="1"/>
  <c r="C407" i="1"/>
  <c r="D407" i="1"/>
  <c r="E407" i="1"/>
  <c r="F407" i="1"/>
  <c r="G407" i="1"/>
  <c r="H407" i="1"/>
  <c r="I407" i="1"/>
  <c r="A408" i="1"/>
  <c r="B408" i="1"/>
  <c r="C408" i="1"/>
  <c r="D408" i="1"/>
  <c r="E408" i="1"/>
  <c r="F408" i="1"/>
  <c r="G408" i="1"/>
  <c r="H408" i="1"/>
  <c r="I408" i="1"/>
  <c r="A409" i="1"/>
  <c r="B409" i="1"/>
  <c r="C409" i="1"/>
  <c r="D409" i="1"/>
  <c r="E409" i="1"/>
  <c r="F409" i="1"/>
  <c r="G409" i="1"/>
  <c r="H409" i="1"/>
  <c r="I409" i="1"/>
  <c r="A410" i="1"/>
  <c r="B410" i="1"/>
  <c r="C410" i="1"/>
  <c r="D410" i="1"/>
  <c r="E410" i="1"/>
  <c r="F410" i="1"/>
  <c r="G410" i="1"/>
  <c r="H410" i="1"/>
  <c r="I410" i="1"/>
  <c r="A411" i="1"/>
  <c r="B411" i="1"/>
  <c r="C411" i="1"/>
  <c r="D411" i="1"/>
  <c r="E411" i="1"/>
  <c r="F411" i="1"/>
  <c r="G411" i="1"/>
  <c r="H411" i="1"/>
  <c r="I411" i="1"/>
  <c r="A412" i="1"/>
  <c r="B412" i="1"/>
  <c r="C412" i="1"/>
  <c r="D412" i="1"/>
  <c r="E412" i="1"/>
  <c r="F412" i="1"/>
  <c r="G412" i="1"/>
  <c r="H412" i="1"/>
  <c r="I412" i="1"/>
  <c r="A413" i="1"/>
  <c r="B413" i="1"/>
  <c r="C413" i="1"/>
  <c r="D413" i="1"/>
  <c r="E413" i="1"/>
  <c r="F413" i="1"/>
  <c r="G413" i="1"/>
  <c r="H413" i="1"/>
  <c r="I413" i="1"/>
  <c r="A414" i="1"/>
  <c r="B414" i="1"/>
  <c r="C414" i="1"/>
  <c r="D414" i="1"/>
  <c r="E414" i="1"/>
  <c r="F414" i="1"/>
  <c r="G414" i="1"/>
  <c r="H414" i="1"/>
  <c r="I414" i="1"/>
  <c r="A415" i="1"/>
  <c r="B415" i="1"/>
  <c r="C415" i="1"/>
  <c r="D415" i="1"/>
  <c r="E415" i="1"/>
  <c r="F415" i="1"/>
  <c r="G415" i="1"/>
  <c r="H415" i="1"/>
  <c r="I415" i="1"/>
  <c r="A416" i="1"/>
  <c r="B416" i="1"/>
  <c r="C416" i="1"/>
  <c r="D416" i="1"/>
  <c r="E416" i="1"/>
  <c r="F416" i="1"/>
  <c r="G416" i="1"/>
  <c r="H416" i="1"/>
  <c r="I416" i="1"/>
  <c r="A417" i="1"/>
  <c r="B417" i="1"/>
  <c r="C417" i="1"/>
  <c r="D417" i="1"/>
  <c r="E417" i="1"/>
  <c r="F417" i="1"/>
  <c r="G417" i="1"/>
  <c r="H417" i="1"/>
  <c r="I417" i="1"/>
  <c r="A418" i="1"/>
  <c r="B418" i="1"/>
  <c r="C418" i="1"/>
  <c r="D418" i="1"/>
  <c r="E418" i="1"/>
  <c r="F418" i="1"/>
  <c r="G418" i="1"/>
  <c r="H418" i="1"/>
  <c r="I418" i="1"/>
  <c r="A419" i="1"/>
  <c r="B419" i="1"/>
  <c r="C419" i="1"/>
  <c r="D419" i="1"/>
  <c r="E419" i="1"/>
  <c r="F419" i="1"/>
  <c r="G419" i="1"/>
  <c r="H419" i="1"/>
  <c r="I419" i="1"/>
  <c r="A420" i="1"/>
  <c r="B420" i="1"/>
  <c r="C420" i="1"/>
  <c r="D420" i="1"/>
  <c r="E420" i="1"/>
  <c r="F420" i="1"/>
  <c r="G420" i="1"/>
  <c r="H420" i="1"/>
  <c r="I420" i="1"/>
  <c r="A421" i="1"/>
  <c r="B421" i="1"/>
  <c r="C421" i="1"/>
  <c r="D421" i="1"/>
  <c r="E421" i="1"/>
  <c r="F421" i="1"/>
  <c r="G421" i="1"/>
  <c r="H421" i="1"/>
  <c r="I421" i="1"/>
  <c r="A422" i="1"/>
  <c r="B422" i="1"/>
  <c r="C422" i="1"/>
  <c r="D422" i="1"/>
  <c r="E422" i="1"/>
  <c r="F422" i="1"/>
  <c r="G422" i="1"/>
  <c r="H422" i="1"/>
  <c r="I422" i="1"/>
  <c r="A423" i="1"/>
  <c r="B423" i="1"/>
  <c r="C423" i="1"/>
  <c r="D423" i="1"/>
  <c r="E423" i="1"/>
  <c r="F423" i="1"/>
  <c r="G423" i="1"/>
  <c r="H423" i="1"/>
  <c r="I423" i="1"/>
  <c r="A424" i="1"/>
  <c r="B424" i="1"/>
  <c r="C424" i="1"/>
  <c r="D424" i="1"/>
  <c r="E424" i="1"/>
  <c r="F424" i="1"/>
  <c r="G424" i="1"/>
  <c r="H424" i="1"/>
  <c r="I424" i="1"/>
  <c r="A425" i="1"/>
  <c r="B425" i="1"/>
  <c r="C425" i="1"/>
  <c r="D425" i="1"/>
  <c r="E425" i="1"/>
  <c r="F425" i="1"/>
  <c r="G425" i="1"/>
  <c r="H425" i="1"/>
  <c r="I425" i="1"/>
  <c r="A426" i="1"/>
  <c r="B426" i="1"/>
  <c r="C426" i="1"/>
  <c r="D426" i="1"/>
  <c r="E426" i="1"/>
  <c r="F426" i="1"/>
  <c r="G426" i="1"/>
  <c r="H426" i="1"/>
  <c r="I426" i="1"/>
  <c r="A427" i="1"/>
  <c r="B427" i="1"/>
  <c r="C427" i="1"/>
  <c r="D427" i="1"/>
  <c r="E427" i="1"/>
  <c r="F427" i="1"/>
  <c r="G427" i="1"/>
  <c r="H427" i="1"/>
  <c r="I427" i="1"/>
  <c r="A428" i="1"/>
  <c r="B428" i="1"/>
  <c r="C428" i="1"/>
  <c r="D428" i="1"/>
  <c r="E428" i="1"/>
  <c r="F428" i="1"/>
  <c r="G428" i="1"/>
  <c r="H428" i="1"/>
  <c r="I428" i="1"/>
  <c r="A429" i="1"/>
  <c r="B429" i="1"/>
  <c r="C429" i="1"/>
  <c r="D429" i="1"/>
  <c r="E429" i="1"/>
  <c r="F429" i="1"/>
  <c r="G429" i="1"/>
  <c r="H429" i="1"/>
  <c r="I429" i="1"/>
  <c r="A430" i="1"/>
  <c r="B430" i="1"/>
  <c r="C430" i="1"/>
  <c r="D430" i="1"/>
  <c r="E430" i="1"/>
  <c r="F430" i="1"/>
  <c r="G430" i="1"/>
  <c r="H430" i="1"/>
  <c r="I430" i="1"/>
  <c r="A431" i="1"/>
  <c r="B431" i="1"/>
  <c r="C431" i="1"/>
  <c r="D431" i="1"/>
  <c r="E431" i="1"/>
  <c r="F431" i="1"/>
  <c r="G431" i="1"/>
  <c r="H431" i="1"/>
  <c r="I431" i="1"/>
  <c r="A432" i="1"/>
  <c r="B432" i="1"/>
  <c r="C432" i="1"/>
  <c r="D432" i="1"/>
  <c r="E432" i="1"/>
  <c r="F432" i="1"/>
  <c r="G432" i="1"/>
  <c r="H432" i="1"/>
  <c r="I432" i="1"/>
  <c r="A433" i="1"/>
  <c r="B433" i="1"/>
  <c r="C433" i="1"/>
  <c r="D433" i="1"/>
  <c r="E433" i="1"/>
  <c r="F433" i="1"/>
  <c r="G433" i="1"/>
  <c r="H433" i="1"/>
  <c r="I433" i="1"/>
  <c r="A434" i="1"/>
  <c r="B434" i="1"/>
  <c r="C434" i="1"/>
  <c r="D434" i="1"/>
  <c r="E434" i="1"/>
  <c r="F434" i="1"/>
  <c r="G434" i="1"/>
  <c r="H434" i="1"/>
  <c r="I434" i="1"/>
  <c r="A435" i="1"/>
  <c r="B435" i="1"/>
  <c r="C435" i="1"/>
  <c r="D435" i="1"/>
  <c r="E435" i="1"/>
  <c r="F435" i="1"/>
  <c r="G435" i="1"/>
  <c r="H435" i="1"/>
  <c r="I435" i="1"/>
  <c r="A436" i="1"/>
  <c r="B436" i="1"/>
  <c r="C436" i="1"/>
  <c r="D436" i="1"/>
  <c r="E436" i="1"/>
  <c r="F436" i="1"/>
  <c r="G436" i="1"/>
  <c r="H436" i="1"/>
  <c r="I436" i="1"/>
  <c r="A437" i="1"/>
  <c r="B437" i="1"/>
  <c r="C437" i="1"/>
  <c r="D437" i="1"/>
  <c r="E437" i="1"/>
  <c r="F437" i="1"/>
  <c r="G437" i="1"/>
  <c r="H437" i="1"/>
  <c r="I437" i="1"/>
  <c r="A438" i="1"/>
  <c r="B438" i="1"/>
  <c r="C438" i="1"/>
  <c r="D438" i="1"/>
  <c r="E438" i="1"/>
  <c r="F438" i="1"/>
  <c r="G438" i="1"/>
  <c r="H438" i="1"/>
  <c r="I438" i="1"/>
  <c r="A439" i="1"/>
  <c r="B439" i="1"/>
  <c r="C439" i="1"/>
  <c r="D439" i="1"/>
  <c r="E439" i="1"/>
  <c r="F439" i="1"/>
  <c r="G439" i="1"/>
  <c r="H439" i="1"/>
  <c r="I439" i="1"/>
  <c r="A440" i="1"/>
  <c r="B440" i="1"/>
  <c r="C440" i="1"/>
  <c r="D440" i="1"/>
  <c r="E440" i="1"/>
  <c r="F440" i="1"/>
  <c r="G440" i="1"/>
  <c r="H440" i="1"/>
  <c r="I440" i="1"/>
  <c r="A441" i="1"/>
  <c r="B441" i="1"/>
  <c r="C441" i="1"/>
  <c r="D441" i="1"/>
  <c r="E441" i="1"/>
  <c r="F441" i="1"/>
  <c r="G441" i="1"/>
  <c r="H441" i="1"/>
  <c r="I441" i="1"/>
  <c r="A442" i="1"/>
  <c r="B442" i="1"/>
  <c r="C442" i="1"/>
  <c r="D442" i="1"/>
  <c r="E442" i="1"/>
  <c r="F442" i="1"/>
  <c r="G442" i="1"/>
  <c r="H442" i="1"/>
  <c r="I442" i="1"/>
  <c r="A443" i="1"/>
  <c r="B443" i="1"/>
  <c r="C443" i="1"/>
  <c r="D443" i="1"/>
  <c r="E443" i="1"/>
  <c r="F443" i="1"/>
  <c r="G443" i="1"/>
  <c r="H443" i="1"/>
  <c r="I443" i="1"/>
  <c r="A444" i="1"/>
  <c r="B444" i="1"/>
  <c r="C444" i="1"/>
  <c r="D444" i="1"/>
  <c r="E444" i="1"/>
  <c r="F444" i="1"/>
  <c r="G444" i="1"/>
  <c r="H444" i="1"/>
  <c r="I444" i="1"/>
  <c r="A445" i="1"/>
  <c r="B445" i="1"/>
  <c r="C445" i="1"/>
  <c r="D445" i="1"/>
  <c r="E445" i="1"/>
  <c r="F445" i="1"/>
  <c r="G445" i="1"/>
  <c r="H445" i="1"/>
  <c r="I445" i="1"/>
  <c r="A446" i="1"/>
  <c r="B446" i="1"/>
  <c r="C446" i="1"/>
  <c r="D446" i="1"/>
  <c r="E446" i="1"/>
  <c r="F446" i="1"/>
  <c r="G446" i="1"/>
  <c r="H446" i="1"/>
  <c r="I446" i="1"/>
  <c r="A447" i="1"/>
  <c r="B447" i="1"/>
  <c r="C447" i="1"/>
  <c r="D447" i="1"/>
  <c r="E447" i="1"/>
  <c r="F447" i="1"/>
  <c r="G447" i="1"/>
  <c r="H447" i="1"/>
  <c r="I447" i="1"/>
  <c r="A448" i="1"/>
  <c r="B448" i="1"/>
  <c r="C448" i="1"/>
  <c r="D448" i="1"/>
  <c r="E448" i="1"/>
  <c r="F448" i="1"/>
  <c r="G448" i="1"/>
  <c r="H448" i="1"/>
  <c r="I448" i="1"/>
  <c r="A449" i="1"/>
  <c r="B449" i="1"/>
  <c r="C449" i="1"/>
  <c r="D449" i="1"/>
  <c r="E449" i="1"/>
  <c r="F449" i="1"/>
  <c r="G449" i="1"/>
  <c r="H449" i="1"/>
  <c r="I449" i="1"/>
  <c r="A450" i="1"/>
  <c r="B450" i="1"/>
  <c r="C450" i="1"/>
  <c r="D450" i="1"/>
  <c r="E450" i="1"/>
  <c r="F450" i="1"/>
  <c r="G450" i="1"/>
  <c r="H450" i="1"/>
  <c r="I450" i="1"/>
  <c r="A451" i="1"/>
  <c r="B451" i="1"/>
  <c r="C451" i="1"/>
  <c r="D451" i="1"/>
  <c r="E451" i="1"/>
  <c r="F451" i="1"/>
  <c r="G451" i="1"/>
  <c r="H451" i="1"/>
  <c r="I451" i="1"/>
  <c r="A452" i="1"/>
  <c r="B452" i="1"/>
  <c r="C452" i="1"/>
  <c r="D452" i="1"/>
  <c r="E452" i="1"/>
  <c r="F452" i="1"/>
  <c r="G452" i="1"/>
  <c r="H452" i="1"/>
  <c r="I452" i="1"/>
  <c r="A453" i="1"/>
  <c r="B453" i="1"/>
  <c r="C453" i="1"/>
  <c r="D453" i="1"/>
  <c r="E453" i="1"/>
  <c r="F453" i="1"/>
  <c r="G453" i="1"/>
  <c r="H453" i="1"/>
  <c r="I453" i="1"/>
  <c r="A454" i="1"/>
  <c r="B454" i="1"/>
  <c r="C454" i="1"/>
  <c r="D454" i="1"/>
  <c r="E454" i="1"/>
  <c r="F454" i="1"/>
  <c r="G454" i="1"/>
  <c r="H454" i="1"/>
  <c r="I454" i="1"/>
  <c r="A455" i="1"/>
  <c r="B455" i="1"/>
  <c r="C455" i="1"/>
  <c r="D455" i="1"/>
  <c r="E455" i="1"/>
  <c r="F455" i="1"/>
  <c r="G455" i="1"/>
  <c r="H455" i="1"/>
  <c r="I455" i="1"/>
  <c r="A456" i="1"/>
  <c r="B456" i="1"/>
  <c r="C456" i="1"/>
  <c r="D456" i="1"/>
  <c r="E456" i="1"/>
  <c r="F456" i="1"/>
  <c r="G456" i="1"/>
  <c r="H456" i="1"/>
  <c r="I456" i="1"/>
  <c r="A457" i="1"/>
  <c r="B457" i="1"/>
  <c r="C457" i="1"/>
  <c r="D457" i="1"/>
  <c r="E457" i="1"/>
  <c r="F457" i="1"/>
  <c r="G457" i="1"/>
  <c r="H457" i="1"/>
  <c r="I457" i="1"/>
  <c r="A458" i="1"/>
  <c r="B458" i="1"/>
  <c r="C458" i="1"/>
  <c r="D458" i="1"/>
  <c r="E458" i="1"/>
  <c r="F458" i="1"/>
  <c r="G458" i="1"/>
  <c r="H458" i="1"/>
  <c r="I458" i="1"/>
  <c r="A459" i="1"/>
  <c r="B459" i="1"/>
  <c r="C459" i="1"/>
  <c r="D459" i="1"/>
  <c r="E459" i="1"/>
  <c r="F459" i="1"/>
  <c r="G459" i="1"/>
  <c r="H459" i="1"/>
  <c r="I459" i="1"/>
  <c r="A460" i="1"/>
  <c r="B460" i="1"/>
  <c r="C460" i="1"/>
  <c r="D460" i="1"/>
  <c r="E460" i="1"/>
  <c r="F460" i="1"/>
  <c r="G460" i="1"/>
  <c r="H460" i="1"/>
  <c r="I460" i="1"/>
  <c r="A461" i="1"/>
  <c r="B461" i="1"/>
  <c r="C461" i="1"/>
  <c r="D461" i="1"/>
  <c r="E461" i="1"/>
  <c r="F461" i="1"/>
  <c r="G461" i="1"/>
  <c r="H461" i="1"/>
  <c r="I461" i="1"/>
  <c r="A462" i="1"/>
  <c r="B462" i="1"/>
  <c r="C462" i="1"/>
  <c r="D462" i="1"/>
  <c r="E462" i="1"/>
  <c r="F462" i="1"/>
  <c r="G462" i="1"/>
  <c r="H462" i="1"/>
  <c r="I462" i="1"/>
  <c r="A463" i="1"/>
  <c r="B463" i="1"/>
  <c r="C463" i="1"/>
  <c r="D463" i="1"/>
  <c r="E463" i="1"/>
  <c r="F463" i="1"/>
  <c r="G463" i="1"/>
  <c r="H463" i="1"/>
  <c r="I463" i="1"/>
  <c r="A464" i="1"/>
  <c r="B464" i="1"/>
  <c r="C464" i="1"/>
  <c r="D464" i="1"/>
  <c r="E464" i="1"/>
  <c r="F464" i="1"/>
  <c r="G464" i="1"/>
  <c r="H464" i="1"/>
  <c r="I464" i="1"/>
  <c r="A465" i="1"/>
  <c r="B465" i="1"/>
  <c r="C465" i="1"/>
  <c r="D465" i="1"/>
  <c r="E465" i="1"/>
  <c r="F465" i="1"/>
  <c r="G465" i="1"/>
  <c r="H465" i="1"/>
  <c r="I465" i="1"/>
  <c r="A466" i="1"/>
  <c r="B466" i="1"/>
  <c r="C466" i="1"/>
  <c r="D466" i="1"/>
  <c r="E466" i="1"/>
  <c r="F466" i="1"/>
  <c r="G466" i="1"/>
  <c r="H466" i="1"/>
  <c r="I466" i="1"/>
  <c r="A467" i="1"/>
  <c r="B467" i="1"/>
  <c r="C467" i="1"/>
  <c r="D467" i="1"/>
  <c r="E467" i="1"/>
  <c r="F467" i="1"/>
  <c r="G467" i="1"/>
  <c r="H467" i="1"/>
  <c r="I467" i="1"/>
  <c r="A468" i="1"/>
  <c r="B468" i="1"/>
  <c r="C468" i="1"/>
  <c r="D468" i="1"/>
  <c r="E468" i="1"/>
  <c r="F468" i="1"/>
  <c r="G468" i="1"/>
  <c r="H468" i="1"/>
  <c r="I468" i="1"/>
  <c r="A469" i="1"/>
  <c r="B469" i="1"/>
  <c r="C469" i="1"/>
  <c r="D469" i="1"/>
  <c r="E469" i="1"/>
  <c r="F469" i="1"/>
  <c r="G469" i="1"/>
  <c r="H469" i="1"/>
  <c r="I469" i="1"/>
  <c r="A470" i="1"/>
  <c r="B470" i="1"/>
  <c r="C470" i="1"/>
  <c r="D470" i="1"/>
  <c r="E470" i="1"/>
  <c r="F470" i="1"/>
  <c r="G470" i="1"/>
  <c r="H470" i="1"/>
  <c r="I470" i="1"/>
  <c r="A471" i="1"/>
  <c r="B471" i="1"/>
  <c r="C471" i="1"/>
  <c r="D471" i="1"/>
  <c r="E471" i="1"/>
  <c r="F471" i="1"/>
  <c r="G471" i="1"/>
  <c r="H471" i="1"/>
  <c r="I471" i="1"/>
  <c r="A472" i="1"/>
  <c r="B472" i="1"/>
  <c r="C472" i="1"/>
  <c r="D472" i="1"/>
  <c r="E472" i="1"/>
  <c r="F472" i="1"/>
  <c r="G472" i="1"/>
  <c r="H472" i="1"/>
  <c r="I472" i="1"/>
  <c r="A473" i="1"/>
  <c r="B473" i="1"/>
  <c r="C473" i="1"/>
  <c r="D473" i="1"/>
  <c r="E473" i="1"/>
  <c r="F473" i="1"/>
  <c r="G473" i="1"/>
  <c r="H473" i="1"/>
  <c r="I473" i="1"/>
  <c r="A474" i="1"/>
  <c r="B474" i="1"/>
  <c r="C474" i="1"/>
  <c r="D474" i="1"/>
  <c r="E474" i="1"/>
  <c r="F474" i="1"/>
  <c r="G474" i="1"/>
  <c r="H474" i="1"/>
  <c r="I474" i="1"/>
  <c r="A475" i="1"/>
  <c r="B475" i="1"/>
  <c r="C475" i="1"/>
  <c r="D475" i="1"/>
  <c r="E475" i="1"/>
  <c r="F475" i="1"/>
  <c r="G475" i="1"/>
  <c r="H475" i="1"/>
  <c r="I475" i="1"/>
  <c r="A476" i="1"/>
  <c r="B476" i="1"/>
  <c r="C476" i="1"/>
  <c r="D476" i="1"/>
  <c r="E476" i="1"/>
  <c r="F476" i="1"/>
  <c r="G476" i="1"/>
  <c r="H476" i="1"/>
  <c r="I476" i="1"/>
  <c r="A477" i="1"/>
  <c r="B477" i="1"/>
  <c r="C477" i="1"/>
  <c r="D477" i="1"/>
  <c r="E477" i="1"/>
  <c r="F477" i="1"/>
  <c r="G477" i="1"/>
  <c r="H477" i="1"/>
  <c r="I477" i="1"/>
  <c r="A478" i="1"/>
  <c r="B478" i="1"/>
  <c r="C478" i="1"/>
  <c r="D478" i="1"/>
  <c r="E478" i="1"/>
  <c r="F478" i="1"/>
  <c r="G478" i="1"/>
  <c r="H478" i="1"/>
  <c r="I478" i="1"/>
  <c r="A479" i="1"/>
  <c r="B479" i="1"/>
  <c r="C479" i="1"/>
  <c r="D479" i="1"/>
  <c r="E479" i="1"/>
  <c r="F479" i="1"/>
  <c r="G479" i="1"/>
  <c r="H479" i="1"/>
  <c r="I479" i="1"/>
  <c r="A480" i="1"/>
  <c r="B480" i="1"/>
  <c r="C480" i="1"/>
  <c r="D480" i="1"/>
  <c r="E480" i="1"/>
  <c r="F480" i="1"/>
  <c r="G480" i="1"/>
  <c r="H480" i="1"/>
  <c r="I480" i="1"/>
  <c r="A481" i="1"/>
  <c r="B481" i="1"/>
  <c r="C481" i="1"/>
  <c r="D481" i="1"/>
  <c r="E481" i="1"/>
  <c r="F481" i="1"/>
  <c r="G481" i="1"/>
  <c r="H481" i="1"/>
  <c r="I481" i="1"/>
  <c r="A482" i="1"/>
  <c r="B482" i="1"/>
  <c r="C482" i="1"/>
  <c r="D482" i="1"/>
  <c r="E482" i="1"/>
  <c r="F482" i="1"/>
  <c r="G482" i="1"/>
  <c r="H482" i="1"/>
  <c r="I482" i="1"/>
  <c r="A483" i="1"/>
  <c r="B483" i="1"/>
  <c r="C483" i="1"/>
  <c r="D483" i="1"/>
  <c r="E483" i="1"/>
  <c r="F483" i="1"/>
  <c r="G483" i="1"/>
  <c r="H483" i="1"/>
  <c r="I483" i="1"/>
  <c r="A484" i="1"/>
  <c r="B484" i="1"/>
  <c r="C484" i="1"/>
  <c r="D484" i="1"/>
  <c r="E484" i="1"/>
  <c r="F484" i="1"/>
  <c r="G484" i="1"/>
  <c r="H484" i="1"/>
  <c r="I484" i="1"/>
  <c r="A485" i="1"/>
  <c r="B485" i="1"/>
  <c r="C485" i="1"/>
  <c r="D485" i="1"/>
  <c r="E485" i="1"/>
  <c r="F485" i="1"/>
  <c r="G485" i="1"/>
  <c r="H485" i="1"/>
  <c r="I485" i="1"/>
  <c r="A486" i="1"/>
  <c r="B486" i="1"/>
  <c r="C486" i="1"/>
  <c r="D486" i="1"/>
  <c r="E486" i="1"/>
  <c r="F486" i="1"/>
  <c r="G486" i="1"/>
  <c r="H486" i="1"/>
  <c r="I486" i="1"/>
  <c r="A487" i="1"/>
  <c r="B487" i="1"/>
  <c r="C487" i="1"/>
  <c r="D487" i="1"/>
  <c r="E487" i="1"/>
  <c r="F487" i="1"/>
  <c r="G487" i="1"/>
  <c r="H487" i="1"/>
  <c r="I487" i="1"/>
  <c r="A488" i="1"/>
  <c r="B488" i="1"/>
  <c r="C488" i="1"/>
  <c r="D488" i="1"/>
  <c r="E488" i="1"/>
  <c r="F488" i="1"/>
  <c r="G488" i="1"/>
  <c r="H488" i="1"/>
  <c r="I488" i="1"/>
  <c r="A489" i="1"/>
  <c r="B489" i="1"/>
  <c r="C489" i="1"/>
  <c r="D489" i="1"/>
  <c r="E489" i="1"/>
  <c r="F489" i="1"/>
  <c r="G489" i="1"/>
  <c r="H489" i="1"/>
  <c r="I489" i="1"/>
  <c r="A490" i="1"/>
  <c r="B490" i="1"/>
  <c r="C490" i="1"/>
  <c r="D490" i="1"/>
  <c r="E490" i="1"/>
  <c r="F490" i="1"/>
  <c r="G490" i="1"/>
  <c r="H490" i="1"/>
  <c r="I490" i="1"/>
  <c r="A491" i="1"/>
  <c r="B491" i="1"/>
  <c r="C491" i="1"/>
  <c r="D491" i="1"/>
  <c r="E491" i="1"/>
  <c r="F491" i="1"/>
  <c r="G491" i="1"/>
  <c r="H491" i="1"/>
  <c r="I491" i="1"/>
  <c r="A492" i="1"/>
  <c r="B492" i="1"/>
  <c r="C492" i="1"/>
  <c r="D492" i="1"/>
  <c r="E492" i="1"/>
  <c r="F492" i="1"/>
  <c r="G492" i="1"/>
  <c r="H492" i="1"/>
  <c r="I492" i="1"/>
  <c r="A493" i="1"/>
  <c r="B493" i="1"/>
  <c r="C493" i="1"/>
  <c r="D493" i="1"/>
  <c r="E493" i="1"/>
  <c r="F493" i="1"/>
  <c r="G493" i="1"/>
  <c r="H493" i="1"/>
  <c r="I493" i="1"/>
  <c r="A494" i="1"/>
  <c r="B494" i="1"/>
  <c r="C494" i="1"/>
  <c r="D494" i="1"/>
  <c r="E494" i="1"/>
  <c r="F494" i="1"/>
  <c r="G494" i="1"/>
  <c r="H494" i="1"/>
  <c r="I494" i="1"/>
  <c r="A495" i="1"/>
  <c r="B495" i="1"/>
  <c r="C495" i="1"/>
  <c r="D495" i="1"/>
  <c r="E495" i="1"/>
  <c r="F495" i="1"/>
  <c r="G495" i="1"/>
  <c r="H495" i="1"/>
  <c r="I495" i="1"/>
  <c r="A496" i="1"/>
  <c r="B496" i="1"/>
  <c r="C496" i="1"/>
  <c r="D496" i="1"/>
  <c r="E496" i="1"/>
  <c r="F496" i="1"/>
  <c r="G496" i="1"/>
  <c r="H496" i="1"/>
  <c r="I496" i="1"/>
  <c r="A497" i="1"/>
  <c r="B497" i="1"/>
  <c r="C497" i="1"/>
  <c r="D497" i="1"/>
  <c r="E497" i="1"/>
  <c r="F497" i="1"/>
  <c r="G497" i="1"/>
  <c r="H497" i="1"/>
  <c r="I497" i="1"/>
  <c r="A498" i="1"/>
  <c r="B498" i="1"/>
  <c r="C498" i="1"/>
  <c r="D498" i="1"/>
  <c r="E498" i="1"/>
  <c r="F498" i="1"/>
  <c r="G498" i="1"/>
  <c r="H498" i="1"/>
  <c r="I498" i="1"/>
  <c r="A499" i="1"/>
  <c r="B499" i="1"/>
  <c r="C499" i="1"/>
  <c r="D499" i="1"/>
  <c r="E499" i="1"/>
  <c r="F499" i="1"/>
  <c r="G499" i="1"/>
  <c r="H499" i="1"/>
  <c r="I499" i="1"/>
  <c r="A500" i="1"/>
  <c r="B500" i="1"/>
  <c r="C500" i="1"/>
  <c r="D500" i="1"/>
  <c r="E500" i="1"/>
  <c r="F500" i="1"/>
  <c r="G500" i="1"/>
  <c r="H500" i="1"/>
  <c r="I500" i="1"/>
  <c r="A501" i="1"/>
  <c r="B501" i="1"/>
  <c r="C501" i="1"/>
  <c r="D501" i="1"/>
  <c r="E501" i="1"/>
  <c r="F501" i="1"/>
  <c r="G501" i="1"/>
  <c r="H501" i="1"/>
  <c r="I501" i="1"/>
  <c r="A502" i="1"/>
  <c r="B502" i="1"/>
  <c r="C502" i="1"/>
  <c r="D502" i="1"/>
  <c r="E502" i="1"/>
  <c r="F502" i="1"/>
  <c r="G502" i="1"/>
  <c r="H502" i="1"/>
  <c r="I502" i="1"/>
  <c r="A503" i="1"/>
  <c r="B503" i="1"/>
  <c r="C503" i="1"/>
  <c r="D503" i="1"/>
  <c r="E503" i="1"/>
  <c r="F503" i="1"/>
  <c r="G503" i="1"/>
  <c r="H503" i="1"/>
  <c r="I503" i="1"/>
  <c r="A504" i="1"/>
  <c r="B504" i="1"/>
  <c r="C504" i="1"/>
  <c r="D504" i="1"/>
  <c r="E504" i="1"/>
  <c r="F504" i="1"/>
  <c r="G504" i="1"/>
  <c r="H504" i="1"/>
  <c r="I504" i="1"/>
  <c r="A505" i="1"/>
  <c r="B505" i="1"/>
  <c r="C505" i="1"/>
  <c r="D505" i="1"/>
  <c r="E505" i="1"/>
  <c r="F505" i="1"/>
  <c r="G505" i="1"/>
  <c r="H505" i="1"/>
  <c r="I505" i="1"/>
  <c r="A506" i="1"/>
  <c r="B506" i="1"/>
  <c r="C506" i="1"/>
  <c r="D506" i="1"/>
  <c r="E506" i="1"/>
  <c r="F506" i="1"/>
  <c r="G506" i="1"/>
  <c r="H506" i="1"/>
  <c r="I506" i="1"/>
  <c r="A507" i="1"/>
  <c r="B507" i="1"/>
  <c r="C507" i="1"/>
  <c r="D507" i="1"/>
  <c r="E507" i="1"/>
  <c r="F507" i="1"/>
  <c r="G507" i="1"/>
  <c r="H507" i="1"/>
  <c r="I507" i="1"/>
  <c r="A508" i="1"/>
  <c r="B508" i="1"/>
  <c r="C508" i="1"/>
  <c r="D508" i="1"/>
  <c r="E508" i="1"/>
  <c r="F508" i="1"/>
  <c r="G508" i="1"/>
  <c r="H508" i="1"/>
  <c r="I508" i="1"/>
  <c r="A509" i="1"/>
  <c r="B509" i="1"/>
  <c r="C509" i="1"/>
  <c r="D509" i="1"/>
  <c r="E509" i="1"/>
  <c r="F509" i="1"/>
  <c r="G509" i="1"/>
  <c r="H509" i="1"/>
  <c r="I509" i="1"/>
  <c r="A510" i="1"/>
  <c r="B510" i="1"/>
  <c r="C510" i="1"/>
  <c r="D510" i="1"/>
  <c r="E510" i="1"/>
  <c r="F510" i="1"/>
  <c r="G510" i="1"/>
  <c r="H510" i="1"/>
  <c r="I510" i="1"/>
  <c r="A511" i="1"/>
  <c r="B511" i="1"/>
  <c r="C511" i="1"/>
  <c r="D511" i="1"/>
  <c r="E511" i="1"/>
  <c r="F511" i="1"/>
  <c r="G511" i="1"/>
  <c r="H511" i="1"/>
  <c r="I511" i="1"/>
  <c r="A512" i="1"/>
  <c r="B512" i="1"/>
  <c r="C512" i="1"/>
  <c r="D512" i="1"/>
  <c r="E512" i="1"/>
  <c r="F512" i="1"/>
  <c r="G512" i="1"/>
  <c r="H512" i="1"/>
  <c r="I512" i="1"/>
  <c r="A513" i="1"/>
  <c r="B513" i="1"/>
  <c r="C513" i="1"/>
  <c r="D513" i="1"/>
  <c r="E513" i="1"/>
  <c r="F513" i="1"/>
  <c r="G513" i="1"/>
  <c r="H513" i="1"/>
  <c r="I513" i="1"/>
  <c r="A514" i="1"/>
  <c r="B514" i="1"/>
  <c r="C514" i="1"/>
  <c r="D514" i="1"/>
  <c r="E514" i="1"/>
  <c r="F514" i="1"/>
  <c r="G514" i="1"/>
  <c r="H514" i="1"/>
  <c r="I514" i="1"/>
  <c r="A515" i="1"/>
  <c r="B515" i="1"/>
  <c r="C515" i="1"/>
  <c r="D515" i="1"/>
  <c r="E515" i="1"/>
  <c r="F515" i="1"/>
  <c r="G515" i="1"/>
  <c r="H515" i="1"/>
  <c r="I515" i="1"/>
  <c r="A516" i="1"/>
  <c r="B516" i="1"/>
  <c r="C516" i="1"/>
  <c r="D516" i="1"/>
  <c r="E516" i="1"/>
  <c r="F516" i="1"/>
  <c r="G516" i="1"/>
  <c r="H516" i="1"/>
  <c r="I516" i="1"/>
  <c r="A517" i="1"/>
  <c r="B517" i="1"/>
  <c r="C517" i="1"/>
  <c r="D517" i="1"/>
  <c r="E517" i="1"/>
  <c r="F517" i="1"/>
  <c r="G517" i="1"/>
  <c r="H517" i="1"/>
  <c r="I517" i="1"/>
  <c r="A518" i="1"/>
  <c r="B518" i="1"/>
  <c r="C518" i="1"/>
  <c r="D518" i="1"/>
  <c r="E518" i="1"/>
  <c r="F518" i="1"/>
  <c r="G518" i="1"/>
  <c r="H518" i="1"/>
  <c r="I518" i="1"/>
  <c r="A519" i="1"/>
  <c r="B519" i="1"/>
  <c r="C519" i="1"/>
  <c r="D519" i="1"/>
  <c r="E519" i="1"/>
  <c r="F519" i="1"/>
  <c r="G519" i="1"/>
  <c r="H519" i="1"/>
  <c r="I519" i="1"/>
  <c r="A520" i="1"/>
  <c r="B520" i="1"/>
  <c r="C520" i="1"/>
  <c r="D520" i="1"/>
  <c r="E520" i="1"/>
  <c r="F520" i="1"/>
  <c r="G520" i="1"/>
  <c r="H520" i="1"/>
  <c r="I520" i="1"/>
  <c r="A521" i="1"/>
  <c r="B521" i="1"/>
  <c r="C521" i="1"/>
  <c r="D521" i="1"/>
  <c r="E521" i="1"/>
  <c r="F521" i="1"/>
  <c r="G521" i="1"/>
  <c r="H521" i="1"/>
  <c r="I521" i="1"/>
  <c r="A522" i="1"/>
  <c r="B522" i="1"/>
  <c r="C522" i="1"/>
  <c r="D522" i="1"/>
  <c r="E522" i="1"/>
  <c r="F522" i="1"/>
  <c r="G522" i="1"/>
  <c r="H522" i="1"/>
  <c r="I522" i="1"/>
  <c r="A523" i="1"/>
  <c r="B523" i="1"/>
  <c r="C523" i="1"/>
  <c r="D523" i="1"/>
  <c r="E523" i="1"/>
  <c r="F523" i="1"/>
  <c r="G523" i="1"/>
  <c r="H523" i="1"/>
  <c r="I523" i="1"/>
  <c r="A524" i="1"/>
  <c r="B524" i="1"/>
  <c r="C524" i="1"/>
  <c r="D524" i="1"/>
  <c r="E524" i="1"/>
  <c r="F524" i="1"/>
  <c r="G524" i="1"/>
  <c r="H524" i="1"/>
  <c r="I524" i="1"/>
  <c r="A525" i="1"/>
  <c r="B525" i="1"/>
  <c r="C525" i="1"/>
  <c r="D525" i="1"/>
  <c r="E525" i="1"/>
  <c r="F525" i="1"/>
  <c r="G525" i="1"/>
  <c r="H525" i="1"/>
  <c r="I525" i="1"/>
  <c r="A526" i="1"/>
  <c r="B526" i="1"/>
  <c r="C526" i="1"/>
  <c r="D526" i="1"/>
  <c r="E526" i="1"/>
  <c r="F526" i="1"/>
  <c r="G526" i="1"/>
  <c r="H526" i="1"/>
  <c r="I526" i="1"/>
  <c r="A527" i="1"/>
  <c r="B527" i="1"/>
  <c r="C527" i="1"/>
  <c r="D527" i="1"/>
  <c r="E527" i="1"/>
  <c r="F527" i="1"/>
  <c r="G527" i="1"/>
  <c r="H527" i="1"/>
  <c r="I527" i="1"/>
  <c r="A528" i="1"/>
  <c r="B528" i="1"/>
  <c r="C528" i="1"/>
  <c r="D528" i="1"/>
  <c r="E528" i="1"/>
  <c r="F528" i="1"/>
  <c r="G528" i="1"/>
  <c r="H528" i="1"/>
  <c r="I528" i="1"/>
  <c r="A529" i="1"/>
  <c r="B529" i="1"/>
  <c r="C529" i="1"/>
  <c r="D529" i="1"/>
  <c r="E529" i="1"/>
  <c r="F529" i="1"/>
  <c r="G529" i="1"/>
  <c r="H529" i="1"/>
  <c r="I529" i="1"/>
  <c r="A530" i="1"/>
  <c r="B530" i="1"/>
  <c r="C530" i="1"/>
  <c r="D530" i="1"/>
  <c r="E530" i="1"/>
  <c r="F530" i="1"/>
  <c r="G530" i="1"/>
  <c r="H530" i="1"/>
  <c r="I530" i="1"/>
  <c r="A531" i="1"/>
  <c r="B531" i="1"/>
  <c r="C531" i="1"/>
  <c r="D531" i="1"/>
  <c r="E531" i="1"/>
  <c r="F531" i="1"/>
  <c r="G531" i="1"/>
  <c r="H531" i="1"/>
  <c r="I531" i="1"/>
  <c r="A532" i="1"/>
  <c r="B532" i="1"/>
  <c r="C532" i="1"/>
  <c r="D532" i="1"/>
  <c r="E532" i="1"/>
  <c r="F532" i="1"/>
  <c r="G532" i="1"/>
  <c r="H532" i="1"/>
  <c r="I532" i="1"/>
  <c r="A533" i="1"/>
  <c r="B533" i="1"/>
  <c r="C533" i="1"/>
  <c r="D533" i="1"/>
  <c r="E533" i="1"/>
  <c r="F533" i="1"/>
  <c r="G533" i="1"/>
  <c r="H533" i="1"/>
  <c r="I533" i="1"/>
  <c r="A534" i="1"/>
  <c r="B534" i="1"/>
  <c r="C534" i="1"/>
  <c r="D534" i="1"/>
  <c r="E534" i="1"/>
  <c r="F534" i="1"/>
  <c r="G534" i="1"/>
  <c r="H534" i="1"/>
  <c r="I534" i="1"/>
  <c r="A535" i="1"/>
  <c r="B535" i="1"/>
  <c r="C535" i="1"/>
  <c r="D535" i="1"/>
  <c r="E535" i="1"/>
  <c r="F535" i="1"/>
  <c r="G535" i="1"/>
  <c r="H535" i="1"/>
  <c r="I535" i="1"/>
  <c r="A536" i="1"/>
  <c r="B536" i="1"/>
  <c r="C536" i="1"/>
  <c r="D536" i="1"/>
  <c r="E536" i="1"/>
  <c r="F536" i="1"/>
  <c r="G536" i="1"/>
  <c r="H536" i="1"/>
  <c r="I536" i="1"/>
  <c r="A537" i="1"/>
  <c r="B537" i="1"/>
  <c r="C537" i="1"/>
  <c r="D537" i="1"/>
  <c r="E537" i="1"/>
  <c r="F537" i="1"/>
  <c r="G537" i="1"/>
  <c r="H537" i="1"/>
  <c r="I537" i="1"/>
  <c r="A538" i="1"/>
  <c r="B538" i="1"/>
  <c r="C538" i="1"/>
  <c r="D538" i="1"/>
  <c r="E538" i="1"/>
  <c r="F538" i="1"/>
  <c r="G538" i="1"/>
  <c r="H538" i="1"/>
  <c r="I538" i="1"/>
  <c r="A539" i="1"/>
  <c r="B539" i="1"/>
  <c r="C539" i="1"/>
  <c r="D539" i="1"/>
  <c r="E539" i="1"/>
  <c r="F539" i="1"/>
  <c r="G539" i="1"/>
  <c r="H539" i="1"/>
  <c r="I539" i="1"/>
  <c r="A540" i="1"/>
  <c r="B540" i="1"/>
  <c r="C540" i="1"/>
  <c r="D540" i="1"/>
  <c r="E540" i="1"/>
  <c r="F540" i="1"/>
  <c r="G540" i="1"/>
  <c r="H540" i="1"/>
  <c r="I540" i="1"/>
  <c r="A541" i="1"/>
  <c r="B541" i="1"/>
  <c r="C541" i="1"/>
  <c r="D541" i="1"/>
  <c r="E541" i="1"/>
  <c r="F541" i="1"/>
  <c r="G541" i="1"/>
  <c r="H541" i="1"/>
  <c r="I541" i="1"/>
  <c r="A542" i="1"/>
  <c r="B542" i="1"/>
  <c r="C542" i="1"/>
  <c r="D542" i="1"/>
  <c r="E542" i="1"/>
  <c r="F542" i="1"/>
  <c r="G542" i="1"/>
  <c r="H542" i="1"/>
  <c r="I542" i="1"/>
  <c r="A543" i="1"/>
  <c r="B543" i="1"/>
  <c r="C543" i="1"/>
  <c r="D543" i="1"/>
  <c r="E543" i="1"/>
  <c r="F543" i="1"/>
  <c r="G543" i="1"/>
  <c r="H543" i="1"/>
  <c r="I543" i="1"/>
  <c r="A544" i="1"/>
  <c r="B544" i="1"/>
  <c r="C544" i="1"/>
  <c r="D544" i="1"/>
  <c r="E544" i="1"/>
  <c r="F544" i="1"/>
  <c r="G544" i="1"/>
  <c r="H544" i="1"/>
  <c r="I544" i="1"/>
  <c r="A545" i="1"/>
  <c r="B545" i="1"/>
  <c r="C545" i="1"/>
  <c r="D545" i="1"/>
  <c r="E545" i="1"/>
  <c r="F545" i="1"/>
  <c r="G545" i="1"/>
  <c r="H545" i="1"/>
  <c r="I545" i="1"/>
  <c r="A546" i="1"/>
  <c r="B546" i="1"/>
  <c r="C546" i="1"/>
  <c r="D546" i="1"/>
  <c r="E546" i="1"/>
  <c r="F546" i="1"/>
  <c r="G546" i="1"/>
  <c r="H546" i="1"/>
  <c r="I546" i="1"/>
  <c r="A547" i="1"/>
  <c r="B547" i="1"/>
  <c r="C547" i="1"/>
  <c r="D547" i="1"/>
  <c r="E547" i="1"/>
  <c r="F547" i="1"/>
  <c r="G547" i="1"/>
  <c r="H547" i="1"/>
  <c r="I547" i="1"/>
  <c r="A548" i="1"/>
  <c r="B548" i="1"/>
  <c r="C548" i="1"/>
  <c r="D548" i="1"/>
  <c r="E548" i="1"/>
  <c r="F548" i="1"/>
  <c r="G548" i="1"/>
  <c r="H548" i="1"/>
  <c r="I548" i="1"/>
  <c r="A549" i="1"/>
  <c r="B549" i="1"/>
  <c r="C549" i="1"/>
  <c r="D549" i="1"/>
  <c r="E549" i="1"/>
  <c r="F549" i="1"/>
  <c r="G549" i="1"/>
  <c r="H549" i="1"/>
  <c r="I549" i="1"/>
  <c r="A550" i="1"/>
  <c r="B550" i="1"/>
  <c r="C550" i="1"/>
  <c r="D550" i="1"/>
  <c r="E550" i="1"/>
  <c r="F550" i="1"/>
  <c r="G550" i="1"/>
  <c r="H550" i="1"/>
  <c r="I550" i="1"/>
  <c r="A551" i="1"/>
  <c r="B551" i="1"/>
  <c r="C551" i="1"/>
  <c r="D551" i="1"/>
  <c r="E551" i="1"/>
  <c r="F551" i="1"/>
  <c r="G551" i="1"/>
  <c r="H551" i="1"/>
  <c r="I551" i="1"/>
  <c r="A552" i="1"/>
  <c r="B552" i="1"/>
  <c r="C552" i="1"/>
  <c r="D552" i="1"/>
  <c r="E552" i="1"/>
  <c r="F552" i="1"/>
  <c r="G552" i="1"/>
  <c r="H552" i="1"/>
  <c r="I552" i="1"/>
  <c r="A553" i="1"/>
  <c r="B553" i="1"/>
  <c r="C553" i="1"/>
  <c r="D553" i="1"/>
  <c r="E553" i="1"/>
  <c r="F553" i="1"/>
  <c r="G553" i="1"/>
  <c r="H553" i="1"/>
  <c r="I553" i="1"/>
  <c r="A554" i="1"/>
  <c r="B554" i="1"/>
  <c r="C554" i="1"/>
  <c r="D554" i="1"/>
  <c r="E554" i="1"/>
  <c r="F554" i="1"/>
  <c r="G554" i="1"/>
  <c r="H554" i="1"/>
  <c r="I554" i="1"/>
  <c r="A555" i="1"/>
  <c r="B555" i="1"/>
  <c r="C555" i="1"/>
  <c r="D555" i="1"/>
  <c r="E555" i="1"/>
  <c r="F555" i="1"/>
  <c r="G555" i="1"/>
  <c r="H555" i="1"/>
  <c r="I555" i="1"/>
  <c r="A556" i="1"/>
  <c r="B556" i="1"/>
  <c r="C556" i="1"/>
  <c r="D556" i="1"/>
  <c r="E556" i="1"/>
  <c r="F556" i="1"/>
  <c r="G556" i="1"/>
  <c r="H556" i="1"/>
  <c r="I556" i="1"/>
  <c r="A557" i="1"/>
  <c r="B557" i="1"/>
  <c r="C557" i="1"/>
  <c r="D557" i="1"/>
  <c r="E557" i="1"/>
  <c r="F557" i="1"/>
  <c r="G557" i="1"/>
  <c r="H557" i="1"/>
  <c r="I557" i="1"/>
  <c r="A558" i="1"/>
  <c r="B558" i="1"/>
  <c r="C558" i="1"/>
  <c r="D558" i="1"/>
  <c r="E558" i="1"/>
  <c r="F558" i="1"/>
  <c r="G558" i="1"/>
  <c r="H558" i="1"/>
  <c r="I558" i="1"/>
  <c r="A559" i="1"/>
  <c r="B559" i="1"/>
  <c r="C559" i="1"/>
  <c r="D559" i="1"/>
  <c r="E559" i="1"/>
  <c r="F559" i="1"/>
  <c r="G559" i="1"/>
  <c r="H559" i="1"/>
  <c r="I559" i="1"/>
  <c r="A560" i="1"/>
  <c r="B560" i="1"/>
  <c r="C560" i="1"/>
  <c r="D560" i="1"/>
  <c r="E560" i="1"/>
  <c r="F560" i="1"/>
  <c r="G560" i="1"/>
  <c r="H560" i="1"/>
  <c r="I560" i="1"/>
  <c r="A561" i="1"/>
  <c r="B561" i="1"/>
  <c r="C561" i="1"/>
  <c r="D561" i="1"/>
  <c r="E561" i="1"/>
  <c r="F561" i="1"/>
  <c r="G561" i="1"/>
  <c r="H561" i="1"/>
  <c r="I561" i="1"/>
  <c r="A562" i="1"/>
  <c r="B562" i="1"/>
  <c r="C562" i="1"/>
  <c r="D562" i="1"/>
  <c r="E562" i="1"/>
  <c r="F562" i="1"/>
  <c r="G562" i="1"/>
  <c r="H562" i="1"/>
  <c r="I562" i="1"/>
  <c r="A563" i="1"/>
  <c r="B563" i="1"/>
  <c r="C563" i="1"/>
  <c r="D563" i="1"/>
  <c r="E563" i="1"/>
  <c r="F563" i="1"/>
  <c r="G563" i="1"/>
  <c r="H563" i="1"/>
  <c r="I563" i="1"/>
  <c r="A564" i="1"/>
  <c r="B564" i="1"/>
  <c r="C564" i="1"/>
  <c r="D564" i="1"/>
  <c r="E564" i="1"/>
  <c r="F564" i="1"/>
  <c r="G564" i="1"/>
  <c r="H564" i="1"/>
  <c r="I564" i="1"/>
  <c r="A565" i="1"/>
  <c r="B565" i="1"/>
  <c r="C565" i="1"/>
  <c r="D565" i="1"/>
  <c r="E565" i="1"/>
  <c r="F565" i="1"/>
  <c r="G565" i="1"/>
  <c r="H565" i="1"/>
  <c r="I565" i="1"/>
  <c r="A566" i="1"/>
  <c r="B566" i="1"/>
  <c r="C566" i="1"/>
  <c r="D566" i="1"/>
  <c r="E566" i="1"/>
  <c r="F566" i="1"/>
  <c r="G566" i="1"/>
  <c r="H566" i="1"/>
  <c r="I566" i="1"/>
  <c r="A567" i="1"/>
  <c r="B567" i="1"/>
  <c r="C567" i="1"/>
  <c r="D567" i="1"/>
  <c r="E567" i="1"/>
  <c r="F567" i="1"/>
  <c r="G567" i="1"/>
  <c r="H567" i="1"/>
  <c r="I567" i="1"/>
  <c r="A568" i="1"/>
  <c r="B568" i="1"/>
  <c r="C568" i="1"/>
  <c r="D568" i="1"/>
  <c r="E568" i="1"/>
  <c r="F568" i="1"/>
  <c r="G568" i="1"/>
  <c r="H568" i="1"/>
  <c r="I568" i="1"/>
  <c r="A569" i="1"/>
  <c r="B569" i="1"/>
  <c r="C569" i="1"/>
  <c r="D569" i="1"/>
  <c r="E569" i="1"/>
  <c r="F569" i="1"/>
  <c r="G569" i="1"/>
  <c r="H569" i="1"/>
  <c r="I569" i="1"/>
  <c r="A570" i="1"/>
  <c r="B570" i="1"/>
  <c r="C570" i="1"/>
  <c r="D570" i="1"/>
  <c r="E570" i="1"/>
  <c r="F570" i="1"/>
  <c r="G570" i="1"/>
  <c r="H570" i="1"/>
  <c r="I570" i="1"/>
  <c r="A571" i="1"/>
  <c r="B571" i="1"/>
  <c r="C571" i="1"/>
  <c r="D571" i="1"/>
  <c r="E571" i="1"/>
  <c r="F571" i="1"/>
  <c r="G571" i="1"/>
  <c r="H571" i="1"/>
  <c r="I571" i="1"/>
  <c r="A572" i="1"/>
  <c r="B572" i="1"/>
  <c r="C572" i="1"/>
  <c r="D572" i="1"/>
  <c r="E572" i="1"/>
  <c r="F572" i="1"/>
  <c r="G572" i="1"/>
  <c r="H572" i="1"/>
  <c r="I572" i="1"/>
  <c r="A573" i="1"/>
  <c r="B573" i="1"/>
  <c r="C573" i="1"/>
  <c r="D573" i="1"/>
  <c r="E573" i="1"/>
  <c r="F573" i="1"/>
  <c r="G573" i="1"/>
  <c r="H573" i="1"/>
  <c r="I573" i="1"/>
  <c r="A574" i="1"/>
  <c r="B574" i="1"/>
  <c r="C574" i="1"/>
  <c r="D574" i="1"/>
  <c r="E574" i="1"/>
  <c r="F574" i="1"/>
  <c r="G574" i="1"/>
  <c r="H574" i="1"/>
  <c r="I574" i="1"/>
  <c r="A575" i="1"/>
  <c r="B575" i="1"/>
  <c r="C575" i="1"/>
  <c r="D575" i="1"/>
  <c r="E575" i="1"/>
  <c r="F575" i="1"/>
  <c r="G575" i="1"/>
  <c r="H575" i="1"/>
  <c r="I575" i="1"/>
  <c r="A576" i="1"/>
  <c r="B576" i="1"/>
  <c r="C576" i="1"/>
  <c r="D576" i="1"/>
  <c r="E576" i="1"/>
  <c r="F576" i="1"/>
  <c r="G576" i="1"/>
  <c r="H576" i="1"/>
  <c r="I576" i="1"/>
  <c r="A577" i="1"/>
  <c r="B577" i="1"/>
  <c r="C577" i="1"/>
  <c r="D577" i="1"/>
  <c r="E577" i="1"/>
  <c r="F577" i="1"/>
  <c r="G577" i="1"/>
  <c r="H577" i="1"/>
  <c r="I577" i="1"/>
  <c r="A578" i="1"/>
  <c r="B578" i="1"/>
  <c r="C578" i="1"/>
  <c r="D578" i="1"/>
  <c r="E578" i="1"/>
  <c r="F578" i="1"/>
  <c r="G578" i="1"/>
  <c r="H578" i="1"/>
  <c r="I578" i="1"/>
  <c r="A579" i="1"/>
  <c r="B579" i="1"/>
  <c r="C579" i="1"/>
  <c r="D579" i="1"/>
  <c r="E579" i="1"/>
  <c r="F579" i="1"/>
  <c r="G579" i="1"/>
  <c r="H579" i="1"/>
  <c r="I579" i="1"/>
  <c r="A580" i="1"/>
  <c r="B580" i="1"/>
  <c r="C580" i="1"/>
  <c r="D580" i="1"/>
  <c r="E580" i="1"/>
  <c r="F580" i="1"/>
  <c r="G580" i="1"/>
  <c r="H580" i="1"/>
  <c r="I580" i="1"/>
  <c r="A581" i="1"/>
  <c r="B581" i="1"/>
  <c r="C581" i="1"/>
  <c r="D581" i="1"/>
  <c r="E581" i="1"/>
  <c r="F581" i="1"/>
  <c r="G581" i="1"/>
  <c r="H581" i="1"/>
  <c r="I581" i="1"/>
  <c r="A582" i="1"/>
  <c r="B582" i="1"/>
  <c r="C582" i="1"/>
  <c r="D582" i="1"/>
  <c r="E582" i="1"/>
  <c r="F582" i="1"/>
  <c r="G582" i="1"/>
  <c r="H582" i="1"/>
  <c r="I582" i="1"/>
  <c r="A583" i="1"/>
  <c r="B583" i="1"/>
  <c r="C583" i="1"/>
  <c r="D583" i="1"/>
  <c r="E583" i="1"/>
  <c r="F583" i="1"/>
  <c r="G583" i="1"/>
  <c r="H583" i="1"/>
  <c r="I583" i="1"/>
  <c r="A584" i="1"/>
  <c r="B584" i="1"/>
  <c r="C584" i="1"/>
  <c r="D584" i="1"/>
  <c r="E584" i="1"/>
  <c r="F584" i="1"/>
  <c r="G584" i="1"/>
  <c r="H584" i="1"/>
  <c r="I584" i="1"/>
  <c r="A585" i="1"/>
  <c r="B585" i="1"/>
  <c r="C585" i="1"/>
  <c r="D585" i="1"/>
  <c r="E585" i="1"/>
  <c r="F585" i="1"/>
  <c r="G585" i="1"/>
  <c r="H585" i="1"/>
  <c r="I585" i="1"/>
  <c r="A586" i="1"/>
  <c r="B586" i="1"/>
  <c r="C586" i="1"/>
  <c r="D586" i="1"/>
  <c r="E586" i="1"/>
  <c r="F586" i="1"/>
  <c r="G586" i="1"/>
  <c r="H586" i="1"/>
  <c r="I586" i="1"/>
  <c r="A587" i="1"/>
  <c r="B587" i="1"/>
  <c r="C587" i="1"/>
  <c r="D587" i="1"/>
  <c r="E587" i="1"/>
  <c r="F587" i="1"/>
  <c r="G587" i="1"/>
  <c r="H587" i="1"/>
  <c r="I587" i="1"/>
  <c r="A588" i="1"/>
  <c r="B588" i="1"/>
  <c r="C588" i="1"/>
  <c r="D588" i="1"/>
  <c r="E588" i="1"/>
  <c r="F588" i="1"/>
  <c r="G588" i="1"/>
  <c r="H588" i="1"/>
  <c r="I588" i="1"/>
  <c r="A589" i="1"/>
  <c r="B589" i="1"/>
  <c r="C589" i="1"/>
  <c r="D589" i="1"/>
  <c r="E589" i="1"/>
  <c r="F589" i="1"/>
  <c r="G589" i="1"/>
  <c r="H589" i="1"/>
  <c r="I589" i="1"/>
  <c r="A590" i="1"/>
  <c r="B590" i="1"/>
  <c r="C590" i="1"/>
  <c r="D590" i="1"/>
  <c r="E590" i="1"/>
  <c r="F590" i="1"/>
  <c r="G590" i="1"/>
  <c r="H590" i="1"/>
  <c r="I590" i="1"/>
  <c r="A591" i="1"/>
  <c r="B591" i="1"/>
  <c r="C591" i="1"/>
  <c r="D591" i="1"/>
  <c r="E591" i="1"/>
  <c r="F591" i="1"/>
  <c r="G591" i="1"/>
  <c r="H591" i="1"/>
  <c r="I591" i="1"/>
  <c r="A592" i="1"/>
  <c r="B592" i="1"/>
  <c r="C592" i="1"/>
  <c r="D592" i="1"/>
  <c r="E592" i="1"/>
  <c r="F592" i="1"/>
  <c r="G592" i="1"/>
  <c r="H592" i="1"/>
  <c r="I592" i="1"/>
  <c r="A593" i="1"/>
  <c r="B593" i="1"/>
  <c r="C593" i="1"/>
  <c r="D593" i="1"/>
  <c r="E593" i="1"/>
  <c r="F593" i="1"/>
  <c r="G593" i="1"/>
  <c r="H593" i="1"/>
  <c r="I593" i="1"/>
  <c r="A594" i="1"/>
  <c r="B594" i="1"/>
  <c r="C594" i="1"/>
  <c r="D594" i="1"/>
  <c r="E594" i="1"/>
  <c r="F594" i="1"/>
  <c r="G594" i="1"/>
  <c r="H594" i="1"/>
  <c r="I594" i="1"/>
  <c r="A595" i="1"/>
  <c r="B595" i="1"/>
  <c r="C595" i="1"/>
  <c r="D595" i="1"/>
  <c r="E595" i="1"/>
  <c r="F595" i="1"/>
  <c r="G595" i="1"/>
  <c r="H595" i="1"/>
  <c r="I595" i="1"/>
  <c r="A596" i="1"/>
  <c r="B596" i="1"/>
  <c r="C596" i="1"/>
  <c r="D596" i="1"/>
  <c r="E596" i="1"/>
  <c r="F596" i="1"/>
  <c r="G596" i="1"/>
  <c r="H596" i="1"/>
  <c r="I596" i="1"/>
  <c r="A597" i="1"/>
  <c r="B597" i="1"/>
  <c r="C597" i="1"/>
  <c r="D597" i="1"/>
  <c r="E597" i="1"/>
  <c r="F597" i="1"/>
  <c r="G597" i="1"/>
  <c r="H597" i="1"/>
  <c r="I597" i="1"/>
  <c r="A598" i="1"/>
  <c r="B598" i="1"/>
  <c r="C598" i="1"/>
  <c r="D598" i="1"/>
  <c r="E598" i="1"/>
  <c r="F598" i="1"/>
  <c r="G598" i="1"/>
  <c r="H598" i="1"/>
  <c r="I598" i="1"/>
  <c r="A599" i="1"/>
  <c r="B599" i="1"/>
  <c r="C599" i="1"/>
  <c r="D599" i="1"/>
  <c r="E599" i="1"/>
  <c r="F599" i="1"/>
  <c r="G599" i="1"/>
  <c r="H599" i="1"/>
  <c r="I599" i="1"/>
  <c r="A600" i="1"/>
  <c r="B600" i="1"/>
  <c r="C600" i="1"/>
  <c r="D600" i="1"/>
  <c r="E600" i="1"/>
  <c r="F600" i="1"/>
  <c r="G600" i="1"/>
  <c r="H600" i="1"/>
  <c r="I600" i="1"/>
  <c r="A601" i="1"/>
  <c r="B601" i="1"/>
  <c r="C601" i="1"/>
  <c r="D601" i="1"/>
  <c r="E601" i="1"/>
  <c r="F601" i="1"/>
  <c r="G601" i="1"/>
  <c r="H601" i="1"/>
  <c r="I601" i="1"/>
  <c r="A602" i="1"/>
  <c r="B602" i="1"/>
  <c r="C602" i="1"/>
  <c r="D602" i="1"/>
  <c r="E602" i="1"/>
  <c r="F602" i="1"/>
  <c r="G602" i="1"/>
  <c r="H602" i="1"/>
  <c r="I602" i="1"/>
  <c r="A603" i="1"/>
  <c r="B603" i="1"/>
  <c r="C603" i="1"/>
  <c r="D603" i="1"/>
  <c r="E603" i="1"/>
  <c r="F603" i="1"/>
  <c r="G603" i="1"/>
  <c r="H603" i="1"/>
  <c r="I603" i="1"/>
  <c r="A604" i="1"/>
  <c r="B604" i="1"/>
  <c r="C604" i="1"/>
  <c r="D604" i="1"/>
  <c r="E604" i="1"/>
  <c r="F604" i="1"/>
  <c r="G604" i="1"/>
  <c r="H604" i="1"/>
  <c r="I604" i="1"/>
  <c r="A605" i="1"/>
  <c r="B605" i="1"/>
  <c r="C605" i="1"/>
  <c r="D605" i="1"/>
  <c r="E605" i="1"/>
  <c r="F605" i="1"/>
  <c r="G605" i="1"/>
  <c r="H605" i="1"/>
  <c r="I605" i="1"/>
  <c r="A606" i="1"/>
  <c r="B606" i="1"/>
  <c r="C606" i="1"/>
  <c r="D606" i="1"/>
  <c r="E606" i="1"/>
  <c r="F606" i="1"/>
  <c r="G606" i="1"/>
  <c r="H606" i="1"/>
  <c r="I606" i="1"/>
  <c r="A607" i="1"/>
  <c r="B607" i="1"/>
  <c r="C607" i="1"/>
  <c r="D607" i="1"/>
  <c r="E607" i="1"/>
  <c r="F607" i="1"/>
  <c r="G607" i="1"/>
  <c r="H607" i="1"/>
  <c r="I607" i="1"/>
  <c r="A608" i="1"/>
  <c r="B608" i="1"/>
  <c r="C608" i="1"/>
  <c r="D608" i="1"/>
  <c r="E608" i="1"/>
  <c r="F608" i="1"/>
  <c r="G608" i="1"/>
  <c r="H608" i="1"/>
  <c r="I608" i="1"/>
  <c r="A609" i="1"/>
  <c r="B609" i="1"/>
  <c r="C609" i="1"/>
  <c r="D609" i="1"/>
  <c r="E609" i="1"/>
  <c r="F609" i="1"/>
  <c r="G609" i="1"/>
  <c r="H609" i="1"/>
  <c r="I609" i="1"/>
  <c r="A610" i="1"/>
  <c r="B610" i="1"/>
  <c r="C610" i="1"/>
  <c r="D610" i="1"/>
  <c r="E610" i="1"/>
  <c r="F610" i="1"/>
  <c r="G610" i="1"/>
  <c r="H610" i="1"/>
  <c r="I610" i="1"/>
  <c r="A611" i="1"/>
  <c r="B611" i="1"/>
  <c r="C611" i="1"/>
  <c r="D611" i="1"/>
  <c r="E611" i="1"/>
  <c r="F611" i="1"/>
  <c r="G611" i="1"/>
  <c r="H611" i="1"/>
  <c r="I611" i="1"/>
  <c r="A612" i="1"/>
  <c r="B612" i="1"/>
  <c r="C612" i="1"/>
  <c r="D612" i="1"/>
  <c r="E612" i="1"/>
  <c r="F612" i="1"/>
  <c r="G612" i="1"/>
  <c r="H612" i="1"/>
  <c r="I612" i="1"/>
  <c r="A613" i="1"/>
  <c r="B613" i="1"/>
  <c r="C613" i="1"/>
  <c r="D613" i="1"/>
  <c r="E613" i="1"/>
  <c r="F613" i="1"/>
  <c r="G613" i="1"/>
  <c r="H613" i="1"/>
  <c r="I613" i="1"/>
  <c r="A614" i="1"/>
  <c r="B614" i="1"/>
  <c r="C614" i="1"/>
  <c r="D614" i="1"/>
  <c r="E614" i="1"/>
  <c r="F614" i="1"/>
  <c r="G614" i="1"/>
  <c r="H614" i="1"/>
  <c r="I614" i="1"/>
  <c r="A615" i="1"/>
  <c r="B615" i="1"/>
  <c r="C615" i="1"/>
  <c r="D615" i="1"/>
  <c r="E615" i="1"/>
  <c r="F615" i="1"/>
  <c r="G615" i="1"/>
  <c r="H615" i="1"/>
  <c r="I615" i="1"/>
  <c r="A616" i="1"/>
  <c r="B616" i="1"/>
  <c r="C616" i="1"/>
  <c r="D616" i="1"/>
  <c r="E616" i="1"/>
  <c r="F616" i="1"/>
  <c r="G616" i="1"/>
  <c r="H616" i="1"/>
  <c r="I616" i="1"/>
  <c r="A617" i="1"/>
  <c r="B617" i="1"/>
  <c r="C617" i="1"/>
  <c r="D617" i="1"/>
  <c r="E617" i="1"/>
  <c r="F617" i="1"/>
  <c r="G617" i="1"/>
  <c r="H617" i="1"/>
  <c r="I617" i="1"/>
  <c r="A618" i="1"/>
  <c r="B618" i="1"/>
  <c r="C618" i="1"/>
  <c r="D618" i="1"/>
  <c r="E618" i="1"/>
  <c r="F618" i="1"/>
  <c r="G618" i="1"/>
  <c r="H618" i="1"/>
  <c r="I618" i="1"/>
  <c r="A619" i="1"/>
  <c r="B619" i="1"/>
  <c r="C619" i="1"/>
  <c r="D619" i="1"/>
  <c r="E619" i="1"/>
  <c r="F619" i="1"/>
  <c r="G619" i="1"/>
  <c r="H619" i="1"/>
  <c r="I619" i="1"/>
  <c r="A620" i="1"/>
  <c r="B620" i="1"/>
  <c r="C620" i="1"/>
  <c r="D620" i="1"/>
  <c r="E620" i="1"/>
  <c r="F620" i="1"/>
  <c r="G620" i="1"/>
  <c r="H620" i="1"/>
  <c r="I620" i="1"/>
  <c r="A621" i="1"/>
  <c r="B621" i="1"/>
  <c r="C621" i="1"/>
  <c r="D621" i="1"/>
  <c r="E621" i="1"/>
  <c r="F621" i="1"/>
  <c r="G621" i="1"/>
  <c r="H621" i="1"/>
  <c r="I621" i="1"/>
  <c r="A622" i="1"/>
  <c r="B622" i="1"/>
  <c r="C622" i="1"/>
  <c r="D622" i="1"/>
  <c r="E622" i="1"/>
  <c r="F622" i="1"/>
  <c r="G622" i="1"/>
  <c r="H622" i="1"/>
  <c r="I622" i="1"/>
  <c r="A623" i="1"/>
  <c r="B623" i="1"/>
  <c r="C623" i="1"/>
  <c r="D623" i="1"/>
  <c r="E623" i="1"/>
  <c r="F623" i="1"/>
  <c r="G623" i="1"/>
  <c r="H623" i="1"/>
  <c r="I623" i="1"/>
  <c r="A624" i="1"/>
  <c r="B624" i="1"/>
  <c r="C624" i="1"/>
  <c r="D624" i="1"/>
  <c r="E624" i="1"/>
  <c r="F624" i="1"/>
  <c r="G624" i="1"/>
  <c r="H624" i="1"/>
  <c r="I624" i="1"/>
  <c r="A625" i="1"/>
  <c r="B625" i="1"/>
  <c r="C625" i="1"/>
  <c r="D625" i="1"/>
  <c r="E625" i="1"/>
  <c r="F625" i="1"/>
  <c r="G625" i="1"/>
  <c r="H625" i="1"/>
  <c r="I625" i="1"/>
  <c r="A626" i="1"/>
  <c r="B626" i="1"/>
  <c r="C626" i="1"/>
  <c r="D626" i="1"/>
  <c r="E626" i="1"/>
  <c r="F626" i="1"/>
  <c r="G626" i="1"/>
  <c r="H626" i="1"/>
  <c r="I626" i="1"/>
  <c r="A627" i="1"/>
  <c r="B627" i="1"/>
  <c r="C627" i="1"/>
  <c r="D627" i="1"/>
  <c r="E627" i="1"/>
  <c r="F627" i="1"/>
  <c r="G627" i="1"/>
  <c r="H627" i="1"/>
  <c r="I627" i="1"/>
  <c r="A628" i="1"/>
  <c r="B628" i="1"/>
  <c r="C628" i="1"/>
  <c r="D628" i="1"/>
  <c r="E628" i="1"/>
  <c r="F628" i="1"/>
  <c r="G628" i="1"/>
  <c r="H628" i="1"/>
  <c r="I628" i="1"/>
  <c r="A629" i="1"/>
  <c r="B629" i="1"/>
  <c r="C629" i="1"/>
  <c r="D629" i="1"/>
  <c r="E629" i="1"/>
  <c r="F629" i="1"/>
  <c r="G629" i="1"/>
  <c r="H629" i="1"/>
  <c r="I629" i="1"/>
  <c r="A630" i="1"/>
  <c r="B630" i="1"/>
  <c r="C630" i="1"/>
  <c r="D630" i="1"/>
  <c r="E630" i="1"/>
  <c r="F630" i="1"/>
  <c r="G630" i="1"/>
  <c r="H630" i="1"/>
  <c r="I630" i="1"/>
  <c r="A631" i="1"/>
  <c r="B631" i="1"/>
  <c r="C631" i="1"/>
  <c r="D631" i="1"/>
  <c r="E631" i="1"/>
  <c r="F631" i="1"/>
  <c r="G631" i="1"/>
  <c r="H631" i="1"/>
  <c r="I631" i="1"/>
  <c r="A632" i="1"/>
  <c r="B632" i="1"/>
  <c r="C632" i="1"/>
  <c r="D632" i="1"/>
  <c r="E632" i="1"/>
  <c r="F632" i="1"/>
  <c r="G632" i="1"/>
  <c r="H632" i="1"/>
  <c r="I632" i="1"/>
  <c r="A633" i="1"/>
  <c r="B633" i="1"/>
  <c r="C633" i="1"/>
  <c r="D633" i="1"/>
  <c r="E633" i="1"/>
  <c r="F633" i="1"/>
  <c r="G633" i="1"/>
  <c r="H633" i="1"/>
  <c r="I633" i="1"/>
  <c r="A634" i="1"/>
  <c r="B634" i="1"/>
  <c r="C634" i="1"/>
  <c r="D634" i="1"/>
  <c r="E634" i="1"/>
  <c r="F634" i="1"/>
  <c r="G634" i="1"/>
  <c r="H634" i="1"/>
  <c r="I634" i="1"/>
  <c r="A635" i="1"/>
  <c r="B635" i="1"/>
  <c r="C635" i="1"/>
  <c r="D635" i="1"/>
  <c r="E635" i="1"/>
  <c r="F635" i="1"/>
  <c r="G635" i="1"/>
  <c r="H635" i="1"/>
  <c r="I635" i="1"/>
  <c r="A636" i="1"/>
  <c r="B636" i="1"/>
  <c r="C636" i="1"/>
  <c r="D636" i="1"/>
  <c r="E636" i="1"/>
  <c r="F636" i="1"/>
  <c r="G636" i="1"/>
  <c r="H636" i="1"/>
  <c r="I636" i="1"/>
  <c r="A637" i="1"/>
  <c r="B637" i="1"/>
  <c r="C637" i="1"/>
  <c r="D637" i="1"/>
  <c r="E637" i="1"/>
  <c r="F637" i="1"/>
  <c r="G637" i="1"/>
  <c r="H637" i="1"/>
  <c r="I637" i="1"/>
  <c r="A638" i="1"/>
  <c r="B638" i="1"/>
  <c r="C638" i="1"/>
  <c r="D638" i="1"/>
  <c r="E638" i="1"/>
  <c r="F638" i="1"/>
  <c r="G638" i="1"/>
  <c r="H638" i="1"/>
  <c r="I638" i="1"/>
  <c r="A639" i="1"/>
  <c r="B639" i="1"/>
  <c r="C639" i="1"/>
  <c r="D639" i="1"/>
  <c r="E639" i="1"/>
  <c r="F639" i="1"/>
  <c r="G639" i="1"/>
  <c r="H639" i="1"/>
  <c r="I639" i="1"/>
  <c r="A640" i="1"/>
  <c r="B640" i="1"/>
  <c r="C640" i="1"/>
  <c r="D640" i="1"/>
  <c r="E640" i="1"/>
  <c r="F640" i="1"/>
  <c r="G640" i="1"/>
  <c r="H640" i="1"/>
  <c r="I640" i="1"/>
  <c r="A641" i="1"/>
  <c r="B641" i="1"/>
  <c r="C641" i="1"/>
  <c r="D641" i="1"/>
  <c r="E641" i="1"/>
  <c r="F641" i="1"/>
  <c r="G641" i="1"/>
  <c r="H641" i="1"/>
  <c r="I641" i="1"/>
  <c r="A642" i="1"/>
  <c r="B642" i="1"/>
  <c r="C642" i="1"/>
  <c r="D642" i="1"/>
  <c r="E642" i="1"/>
  <c r="F642" i="1"/>
  <c r="G642" i="1"/>
  <c r="H642" i="1"/>
  <c r="I642" i="1"/>
  <c r="A643" i="1"/>
  <c r="B643" i="1"/>
  <c r="C643" i="1"/>
  <c r="D643" i="1"/>
  <c r="E643" i="1"/>
  <c r="F643" i="1"/>
  <c r="G643" i="1"/>
  <c r="H643" i="1"/>
  <c r="I643" i="1"/>
  <c r="A644" i="1"/>
  <c r="B644" i="1"/>
  <c r="C644" i="1"/>
  <c r="D644" i="1"/>
  <c r="E644" i="1"/>
  <c r="F644" i="1"/>
  <c r="G644" i="1"/>
  <c r="H644" i="1"/>
  <c r="I644" i="1"/>
  <c r="A645" i="1"/>
  <c r="B645" i="1"/>
  <c r="C645" i="1"/>
  <c r="D645" i="1"/>
  <c r="E645" i="1"/>
  <c r="F645" i="1"/>
  <c r="G645" i="1"/>
  <c r="H645" i="1"/>
  <c r="I645" i="1"/>
  <c r="A646" i="1"/>
  <c r="B646" i="1"/>
  <c r="C646" i="1"/>
  <c r="D646" i="1"/>
  <c r="E646" i="1"/>
  <c r="F646" i="1"/>
  <c r="G646" i="1"/>
  <c r="H646" i="1"/>
  <c r="I646" i="1"/>
  <c r="A647" i="1"/>
  <c r="B647" i="1"/>
  <c r="C647" i="1"/>
  <c r="D647" i="1"/>
  <c r="E647" i="1"/>
  <c r="F647" i="1"/>
  <c r="G647" i="1"/>
  <c r="H647" i="1"/>
  <c r="I647" i="1"/>
  <c r="A648" i="1"/>
  <c r="B648" i="1"/>
  <c r="C648" i="1"/>
  <c r="D648" i="1"/>
  <c r="E648" i="1"/>
  <c r="F648" i="1"/>
  <c r="G648" i="1"/>
  <c r="H648" i="1"/>
  <c r="I648" i="1"/>
  <c r="A649" i="1"/>
  <c r="B649" i="1"/>
  <c r="C649" i="1"/>
  <c r="D649" i="1"/>
  <c r="E649" i="1"/>
  <c r="F649" i="1"/>
  <c r="G649" i="1"/>
  <c r="H649" i="1"/>
  <c r="I649" i="1"/>
  <c r="A650" i="1"/>
  <c r="B650" i="1"/>
  <c r="C650" i="1"/>
  <c r="D650" i="1"/>
  <c r="E650" i="1"/>
  <c r="F650" i="1"/>
  <c r="G650" i="1"/>
  <c r="H650" i="1"/>
  <c r="I650" i="1"/>
  <c r="A651" i="1"/>
  <c r="B651" i="1"/>
  <c r="C651" i="1"/>
  <c r="D651" i="1"/>
  <c r="E651" i="1"/>
  <c r="F651" i="1"/>
  <c r="G651" i="1"/>
  <c r="H651" i="1"/>
  <c r="I651" i="1"/>
  <c r="A652" i="1"/>
  <c r="B652" i="1"/>
  <c r="C652" i="1"/>
  <c r="D652" i="1"/>
  <c r="E652" i="1"/>
  <c r="F652" i="1"/>
  <c r="G652" i="1"/>
  <c r="H652" i="1"/>
  <c r="I652" i="1"/>
  <c r="A653" i="1"/>
  <c r="B653" i="1"/>
  <c r="C653" i="1"/>
  <c r="D653" i="1"/>
  <c r="E653" i="1"/>
  <c r="F653" i="1"/>
  <c r="G653" i="1"/>
  <c r="H653" i="1"/>
  <c r="I653" i="1"/>
  <c r="A654" i="1"/>
  <c r="B654" i="1"/>
  <c r="C654" i="1"/>
  <c r="D654" i="1"/>
  <c r="E654" i="1"/>
  <c r="F654" i="1"/>
  <c r="G654" i="1"/>
  <c r="H654" i="1"/>
  <c r="I654" i="1"/>
  <c r="A655" i="1"/>
  <c r="B655" i="1"/>
  <c r="C655" i="1"/>
  <c r="D655" i="1"/>
  <c r="E655" i="1"/>
  <c r="F655" i="1"/>
  <c r="G655" i="1"/>
  <c r="H655" i="1"/>
  <c r="I655" i="1"/>
  <c r="A656" i="1"/>
  <c r="B656" i="1"/>
  <c r="C656" i="1"/>
  <c r="D656" i="1"/>
  <c r="E656" i="1"/>
  <c r="F656" i="1"/>
  <c r="G656" i="1"/>
  <c r="H656" i="1"/>
  <c r="I656" i="1"/>
  <c r="A657" i="1"/>
  <c r="B657" i="1"/>
  <c r="C657" i="1"/>
  <c r="D657" i="1"/>
  <c r="E657" i="1"/>
  <c r="F657" i="1"/>
  <c r="G657" i="1"/>
  <c r="H657" i="1"/>
  <c r="I657" i="1"/>
  <c r="A658" i="1"/>
  <c r="B658" i="1"/>
  <c r="C658" i="1"/>
  <c r="D658" i="1"/>
  <c r="E658" i="1"/>
  <c r="F658" i="1"/>
  <c r="G658" i="1"/>
  <c r="H658" i="1"/>
  <c r="I658" i="1"/>
  <c r="A659" i="1"/>
  <c r="B659" i="1"/>
  <c r="C659" i="1"/>
  <c r="D659" i="1"/>
  <c r="E659" i="1"/>
  <c r="F659" i="1"/>
  <c r="G659" i="1"/>
  <c r="H659" i="1"/>
  <c r="I659" i="1"/>
  <c r="A660" i="1"/>
  <c r="B660" i="1"/>
  <c r="C660" i="1"/>
  <c r="D660" i="1"/>
  <c r="E660" i="1"/>
  <c r="F660" i="1"/>
  <c r="G660" i="1"/>
  <c r="H660" i="1"/>
  <c r="I660" i="1"/>
  <c r="A661" i="1"/>
  <c r="B661" i="1"/>
  <c r="C661" i="1"/>
  <c r="D661" i="1"/>
  <c r="E661" i="1"/>
  <c r="F661" i="1"/>
  <c r="G661" i="1"/>
  <c r="H661" i="1"/>
  <c r="I661" i="1"/>
  <c r="A662" i="1"/>
  <c r="B662" i="1"/>
  <c r="C662" i="1"/>
  <c r="D662" i="1"/>
  <c r="E662" i="1"/>
  <c r="F662" i="1"/>
  <c r="G662" i="1"/>
  <c r="H662" i="1"/>
  <c r="I662" i="1"/>
  <c r="A663" i="1"/>
  <c r="B663" i="1"/>
  <c r="C663" i="1"/>
  <c r="D663" i="1"/>
  <c r="E663" i="1"/>
  <c r="F663" i="1"/>
  <c r="G663" i="1"/>
  <c r="H663" i="1"/>
  <c r="I663" i="1"/>
  <c r="A664" i="1"/>
  <c r="B664" i="1"/>
  <c r="C664" i="1"/>
  <c r="D664" i="1"/>
  <c r="E664" i="1"/>
  <c r="F664" i="1"/>
  <c r="G664" i="1"/>
  <c r="H664" i="1"/>
  <c r="I664" i="1"/>
  <c r="A665" i="1"/>
  <c r="B665" i="1"/>
  <c r="C665" i="1"/>
  <c r="D665" i="1"/>
  <c r="E665" i="1"/>
  <c r="F665" i="1"/>
  <c r="G665" i="1"/>
  <c r="H665" i="1"/>
  <c r="I665" i="1"/>
  <c r="A666" i="1"/>
  <c r="B666" i="1"/>
  <c r="C666" i="1"/>
  <c r="D666" i="1"/>
  <c r="E666" i="1"/>
  <c r="F666" i="1"/>
  <c r="G666" i="1"/>
  <c r="H666" i="1"/>
  <c r="I666" i="1"/>
  <c r="A667" i="1"/>
  <c r="B667" i="1"/>
  <c r="C667" i="1"/>
  <c r="D667" i="1"/>
  <c r="E667" i="1"/>
  <c r="F667" i="1"/>
  <c r="G667" i="1"/>
  <c r="H667" i="1"/>
  <c r="I667" i="1"/>
  <c r="A668" i="1"/>
  <c r="B668" i="1"/>
  <c r="C668" i="1"/>
  <c r="D668" i="1"/>
  <c r="E668" i="1"/>
  <c r="F668" i="1"/>
  <c r="G668" i="1"/>
  <c r="H668" i="1"/>
  <c r="I668" i="1"/>
  <c r="A669" i="1"/>
  <c r="B669" i="1"/>
  <c r="C669" i="1"/>
  <c r="D669" i="1"/>
  <c r="E669" i="1"/>
  <c r="F669" i="1"/>
  <c r="G669" i="1"/>
  <c r="H669" i="1"/>
  <c r="I669" i="1"/>
  <c r="A670" i="1"/>
  <c r="B670" i="1"/>
  <c r="C670" i="1"/>
  <c r="D670" i="1"/>
  <c r="E670" i="1"/>
  <c r="F670" i="1"/>
  <c r="G670" i="1"/>
  <c r="H670" i="1"/>
  <c r="I670" i="1"/>
  <c r="A671" i="1"/>
  <c r="B671" i="1"/>
  <c r="C671" i="1"/>
  <c r="D671" i="1"/>
  <c r="E671" i="1"/>
  <c r="F671" i="1"/>
  <c r="G671" i="1"/>
  <c r="H671" i="1"/>
  <c r="I671" i="1"/>
  <c r="A672" i="1"/>
  <c r="B672" i="1"/>
  <c r="C672" i="1"/>
  <c r="D672" i="1"/>
  <c r="E672" i="1"/>
  <c r="F672" i="1"/>
  <c r="G672" i="1"/>
  <c r="H672" i="1"/>
  <c r="I672" i="1"/>
  <c r="A673" i="1"/>
  <c r="B673" i="1"/>
  <c r="C673" i="1"/>
  <c r="D673" i="1"/>
  <c r="E673" i="1"/>
  <c r="F673" i="1"/>
  <c r="G673" i="1"/>
  <c r="H673" i="1"/>
  <c r="I673" i="1"/>
  <c r="A674" i="1"/>
  <c r="B674" i="1"/>
  <c r="C674" i="1"/>
  <c r="D674" i="1"/>
  <c r="E674" i="1"/>
  <c r="F674" i="1"/>
  <c r="G674" i="1"/>
  <c r="H674" i="1"/>
  <c r="I674" i="1"/>
  <c r="A675" i="1"/>
  <c r="B675" i="1"/>
  <c r="C675" i="1"/>
  <c r="D675" i="1"/>
  <c r="E675" i="1"/>
  <c r="F675" i="1"/>
  <c r="G675" i="1"/>
  <c r="H675" i="1"/>
  <c r="I675" i="1"/>
  <c r="A676" i="1"/>
  <c r="B676" i="1"/>
  <c r="C676" i="1"/>
  <c r="D676" i="1"/>
  <c r="E676" i="1"/>
  <c r="F676" i="1"/>
  <c r="G676" i="1"/>
  <c r="H676" i="1"/>
  <c r="I676" i="1"/>
  <c r="A677" i="1"/>
  <c r="B677" i="1"/>
  <c r="C677" i="1"/>
  <c r="D677" i="1"/>
  <c r="E677" i="1"/>
  <c r="F677" i="1"/>
  <c r="G677" i="1"/>
  <c r="H677" i="1"/>
  <c r="I677" i="1"/>
  <c r="A678" i="1"/>
  <c r="B678" i="1"/>
  <c r="C678" i="1"/>
  <c r="D678" i="1"/>
  <c r="E678" i="1"/>
  <c r="F678" i="1"/>
  <c r="G678" i="1"/>
  <c r="H678" i="1"/>
  <c r="I678" i="1"/>
  <c r="A679" i="1"/>
  <c r="B679" i="1"/>
  <c r="C679" i="1"/>
  <c r="D679" i="1"/>
  <c r="E679" i="1"/>
  <c r="F679" i="1"/>
  <c r="G679" i="1"/>
  <c r="H679" i="1"/>
  <c r="I679" i="1"/>
  <c r="A680" i="1"/>
  <c r="B680" i="1"/>
  <c r="C680" i="1"/>
  <c r="D680" i="1"/>
  <c r="E680" i="1"/>
  <c r="F680" i="1"/>
  <c r="G680" i="1"/>
  <c r="H680" i="1"/>
  <c r="I680" i="1"/>
  <c r="A681" i="1"/>
  <c r="B681" i="1"/>
  <c r="C681" i="1"/>
  <c r="D681" i="1"/>
  <c r="E681" i="1"/>
  <c r="F681" i="1"/>
  <c r="G681" i="1"/>
  <c r="H681" i="1"/>
  <c r="I681" i="1"/>
  <c r="A682" i="1"/>
  <c r="B682" i="1"/>
  <c r="C682" i="1"/>
  <c r="D682" i="1"/>
  <c r="E682" i="1"/>
  <c r="F682" i="1"/>
  <c r="G682" i="1"/>
  <c r="H682" i="1"/>
  <c r="I682" i="1"/>
  <c r="A683" i="1"/>
  <c r="B683" i="1"/>
  <c r="C683" i="1"/>
  <c r="D683" i="1"/>
  <c r="E683" i="1"/>
  <c r="F683" i="1"/>
  <c r="G683" i="1"/>
  <c r="H683" i="1"/>
  <c r="I683" i="1"/>
  <c r="A684" i="1"/>
  <c r="B684" i="1"/>
  <c r="C684" i="1"/>
  <c r="D684" i="1"/>
  <c r="E684" i="1"/>
  <c r="F684" i="1"/>
  <c r="G684" i="1"/>
  <c r="H684" i="1"/>
  <c r="I684" i="1"/>
  <c r="A685" i="1"/>
  <c r="B685" i="1"/>
  <c r="C685" i="1"/>
  <c r="D685" i="1"/>
  <c r="E685" i="1"/>
  <c r="F685" i="1"/>
  <c r="G685" i="1"/>
  <c r="H685" i="1"/>
  <c r="I685" i="1"/>
  <c r="A686" i="1"/>
  <c r="B686" i="1"/>
  <c r="C686" i="1"/>
  <c r="D686" i="1"/>
  <c r="E686" i="1"/>
  <c r="F686" i="1"/>
  <c r="G686" i="1"/>
  <c r="H686" i="1"/>
  <c r="I686" i="1"/>
  <c r="A687" i="1"/>
  <c r="B687" i="1"/>
  <c r="C687" i="1"/>
  <c r="D687" i="1"/>
  <c r="E687" i="1"/>
  <c r="F687" i="1"/>
  <c r="G687" i="1"/>
  <c r="H687" i="1"/>
  <c r="I687" i="1"/>
  <c r="A688" i="1"/>
  <c r="B688" i="1"/>
  <c r="C688" i="1"/>
  <c r="D688" i="1"/>
  <c r="E688" i="1"/>
  <c r="F688" i="1"/>
  <c r="G688" i="1"/>
  <c r="H688" i="1"/>
  <c r="I688" i="1"/>
  <c r="A689" i="1"/>
  <c r="B689" i="1"/>
  <c r="C689" i="1"/>
  <c r="D689" i="1"/>
  <c r="E689" i="1"/>
  <c r="F689" i="1"/>
  <c r="G689" i="1"/>
  <c r="H689" i="1"/>
  <c r="I689" i="1"/>
  <c r="A690" i="1"/>
  <c r="B690" i="1"/>
  <c r="C690" i="1"/>
  <c r="D690" i="1"/>
  <c r="E690" i="1"/>
  <c r="F690" i="1"/>
  <c r="G690" i="1"/>
  <c r="H690" i="1"/>
  <c r="I690" i="1"/>
  <c r="A691" i="1"/>
  <c r="B691" i="1"/>
  <c r="C691" i="1"/>
  <c r="D691" i="1"/>
  <c r="E691" i="1"/>
  <c r="F691" i="1"/>
  <c r="G691" i="1"/>
  <c r="H691" i="1"/>
  <c r="I691" i="1"/>
  <c r="A692" i="1"/>
  <c r="B692" i="1"/>
  <c r="C692" i="1"/>
  <c r="D692" i="1"/>
  <c r="E692" i="1"/>
  <c r="F692" i="1"/>
  <c r="G692" i="1"/>
  <c r="H692" i="1"/>
  <c r="I692" i="1"/>
  <c r="A693" i="1"/>
  <c r="B693" i="1"/>
  <c r="C693" i="1"/>
  <c r="D693" i="1"/>
  <c r="E693" i="1"/>
  <c r="F693" i="1"/>
  <c r="G693" i="1"/>
  <c r="H693" i="1"/>
  <c r="I693" i="1"/>
  <c r="A694" i="1"/>
  <c r="B694" i="1"/>
  <c r="C694" i="1"/>
  <c r="D694" i="1"/>
  <c r="E694" i="1"/>
  <c r="F694" i="1"/>
  <c r="G694" i="1"/>
  <c r="H694" i="1"/>
  <c r="I694" i="1"/>
  <c r="A695" i="1"/>
  <c r="B695" i="1"/>
  <c r="C695" i="1"/>
  <c r="D695" i="1"/>
  <c r="E695" i="1"/>
  <c r="F695" i="1"/>
  <c r="G695" i="1"/>
  <c r="H695" i="1"/>
  <c r="I695" i="1"/>
  <c r="A696" i="1"/>
  <c r="B696" i="1"/>
  <c r="C696" i="1"/>
  <c r="D696" i="1"/>
  <c r="E696" i="1"/>
  <c r="F696" i="1"/>
  <c r="G696" i="1"/>
  <c r="H696" i="1"/>
  <c r="I696" i="1"/>
  <c r="A697" i="1"/>
  <c r="B697" i="1"/>
  <c r="C697" i="1"/>
  <c r="D697" i="1"/>
  <c r="E697" i="1"/>
  <c r="F697" i="1"/>
  <c r="G697" i="1"/>
  <c r="H697" i="1"/>
  <c r="I697" i="1"/>
  <c r="A698" i="1"/>
  <c r="B698" i="1"/>
  <c r="C698" i="1"/>
  <c r="D698" i="1"/>
  <c r="E698" i="1"/>
  <c r="F698" i="1"/>
  <c r="G698" i="1"/>
  <c r="H698" i="1"/>
  <c r="I698" i="1"/>
  <c r="A699" i="1"/>
  <c r="B699" i="1"/>
  <c r="C699" i="1"/>
  <c r="D699" i="1"/>
  <c r="E699" i="1"/>
  <c r="F699" i="1"/>
  <c r="G699" i="1"/>
  <c r="H699" i="1"/>
  <c r="I699" i="1"/>
  <c r="A700" i="1"/>
  <c r="B700" i="1"/>
  <c r="C700" i="1"/>
  <c r="D700" i="1"/>
  <c r="E700" i="1"/>
  <c r="F700" i="1"/>
  <c r="G700" i="1"/>
  <c r="H700" i="1"/>
  <c r="I700" i="1"/>
  <c r="A701" i="1"/>
  <c r="B701" i="1"/>
  <c r="C701" i="1"/>
  <c r="D701" i="1"/>
  <c r="E701" i="1"/>
  <c r="F701" i="1"/>
  <c r="G701" i="1"/>
  <c r="H701" i="1"/>
  <c r="I701" i="1"/>
  <c r="A702" i="1"/>
  <c r="B702" i="1"/>
  <c r="C702" i="1"/>
  <c r="D702" i="1"/>
  <c r="E702" i="1"/>
  <c r="F702" i="1"/>
  <c r="G702" i="1"/>
  <c r="H702" i="1"/>
  <c r="I702" i="1"/>
  <c r="A703" i="1"/>
  <c r="B703" i="1"/>
  <c r="C703" i="1"/>
  <c r="D703" i="1"/>
  <c r="E703" i="1"/>
  <c r="F703" i="1"/>
  <c r="G703" i="1"/>
  <c r="H703" i="1"/>
  <c r="I703" i="1"/>
  <c r="A704" i="1"/>
  <c r="B704" i="1"/>
  <c r="C704" i="1"/>
  <c r="D704" i="1"/>
  <c r="E704" i="1"/>
  <c r="F704" i="1"/>
  <c r="G704" i="1"/>
  <c r="H704" i="1"/>
  <c r="I704" i="1"/>
  <c r="A705" i="1"/>
  <c r="B705" i="1"/>
  <c r="C705" i="1"/>
  <c r="D705" i="1"/>
  <c r="E705" i="1"/>
  <c r="F705" i="1"/>
  <c r="G705" i="1"/>
  <c r="H705" i="1"/>
  <c r="I705" i="1"/>
  <c r="A706" i="1"/>
  <c r="B706" i="1"/>
  <c r="C706" i="1"/>
  <c r="D706" i="1"/>
  <c r="E706" i="1"/>
  <c r="F706" i="1"/>
  <c r="G706" i="1"/>
  <c r="H706" i="1"/>
  <c r="I706" i="1"/>
  <c r="A707" i="1"/>
  <c r="B707" i="1"/>
  <c r="C707" i="1"/>
  <c r="D707" i="1"/>
  <c r="E707" i="1"/>
  <c r="F707" i="1"/>
  <c r="G707" i="1"/>
  <c r="H707" i="1"/>
  <c r="I707" i="1"/>
  <c r="A708" i="1"/>
  <c r="B708" i="1"/>
  <c r="C708" i="1"/>
  <c r="D708" i="1"/>
  <c r="E708" i="1"/>
  <c r="F708" i="1"/>
  <c r="G708" i="1"/>
  <c r="H708" i="1"/>
  <c r="I708" i="1"/>
  <c r="A709" i="1"/>
  <c r="B709" i="1"/>
  <c r="C709" i="1"/>
  <c r="D709" i="1"/>
  <c r="E709" i="1"/>
  <c r="F709" i="1"/>
  <c r="G709" i="1"/>
  <c r="H709" i="1"/>
  <c r="I709" i="1"/>
  <c r="A710" i="1"/>
  <c r="B710" i="1"/>
  <c r="C710" i="1"/>
  <c r="D710" i="1"/>
  <c r="E710" i="1"/>
  <c r="F710" i="1"/>
  <c r="G710" i="1"/>
  <c r="H710" i="1"/>
  <c r="I710" i="1"/>
  <c r="A711" i="1"/>
  <c r="B711" i="1"/>
  <c r="C711" i="1"/>
  <c r="D711" i="1"/>
  <c r="E711" i="1"/>
  <c r="F711" i="1"/>
  <c r="G711" i="1"/>
  <c r="H711" i="1"/>
  <c r="I711" i="1"/>
</calcChain>
</file>

<file path=xl/sharedStrings.xml><?xml version="1.0" encoding="utf-8"?>
<sst xmlns="http://schemas.openxmlformats.org/spreadsheetml/2006/main" count="9" uniqueCount="9">
  <si>
    <t>Name</t>
  </si>
  <si>
    <t>Provider Specialty</t>
  </si>
  <si>
    <t>Address 1</t>
  </si>
  <si>
    <t>Address 2</t>
  </si>
  <si>
    <t>City</t>
  </si>
  <si>
    <t>State</t>
  </si>
  <si>
    <t>Zip Code</t>
  </si>
  <si>
    <t>Telephone Number</t>
  </si>
  <si>
    <t>Cultural Linguistic Capabilities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</si>
</sst>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091EE-80A3-436A-A3DA-8A2CE4057025}">
  <dimension ref="A1:I711"/>
  <sheetViews>
    <sheetView tabSelected="1"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52.5546875" bestFit="1" customWidth="1"/>
    <col min="2" max="2" width="15.33203125" bestFit="1" customWidth="1"/>
    <col min="3" max="3" width="31.109375" bestFit="1" customWidth="1"/>
    <col min="4" max="4" width="31.77734375" bestFit="1" customWidth="1"/>
    <col min="5" max="5" width="19.21875" bestFit="1" customWidth="1"/>
    <col min="6" max="6" width="5.109375" bestFit="1" customWidth="1"/>
    <col min="7" max="7" width="7.88671875" bestFit="1" customWidth="1"/>
    <col min="8" max="8" width="16.33203125" bestFit="1" customWidth="1"/>
    <col min="9" max="9" width="100.5546875" bestFit="1" customWidth="1"/>
  </cols>
  <sheetData>
    <row r="1" spans="1:9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tr">
        <f>"A&amp;S CHEMISTS LLC"</f>
        <v>A&amp;S CHEMISTS LLC</v>
      </c>
      <c r="B2" t="str">
        <f t="shared" ref="B2:B65" si="0">"Pharmacy"</f>
        <v>Pharmacy</v>
      </c>
      <c r="C2" t="str">
        <f>"910 SUMMER STREET"</f>
        <v>910 SUMMER STREET</v>
      </c>
      <c r="D2" t="str">
        <f>""</f>
        <v/>
      </c>
      <c r="E2" t="str">
        <f>"STAMFORD"</f>
        <v>STAMFORD</v>
      </c>
      <c r="F2" t="str">
        <f>"CT"</f>
        <v>CT</v>
      </c>
      <c r="G2" t="str">
        <f>"06905"</f>
        <v>06905</v>
      </c>
      <c r="H2" t="str">
        <f>"2036588229"</f>
        <v>2036588229</v>
      </c>
      <c r="I2" t="str">
        <f>"ENGLISH;RUSSIAN;SPANISH"</f>
        <v>ENGLISH;RUSSIAN;SPANISH</v>
      </c>
    </row>
    <row r="3" spans="1:9" x14ac:dyDescent="0.3">
      <c r="A3" t="str">
        <f>"ABH PHARMACY LLC"</f>
        <v>ABH PHARMACY LLC</v>
      </c>
      <c r="B3" t="str">
        <f t="shared" si="0"/>
        <v>Pharmacy</v>
      </c>
      <c r="C3" t="str">
        <f>"189 ALPS RD"</f>
        <v>189 ALPS RD</v>
      </c>
      <c r="D3" t="str">
        <f>""</f>
        <v/>
      </c>
      <c r="E3" t="str">
        <f>"BRANFORD"</f>
        <v>BRANFORD</v>
      </c>
      <c r="F3" t="str">
        <f>"CT"</f>
        <v>CT</v>
      </c>
      <c r="G3" t="str">
        <f>"06405"</f>
        <v>06405</v>
      </c>
      <c r="H3" t="str">
        <f>"2033152634"</f>
        <v>2033152634</v>
      </c>
      <c r="I3" t="str">
        <f>"ENGLISH"</f>
        <v>ENGLISH</v>
      </c>
    </row>
    <row r="4" spans="1:9" x14ac:dyDescent="0.3">
      <c r="A4" t="str">
        <f>"ACARIAHEALTH PHARMACY #12, INC"</f>
        <v>ACARIAHEALTH PHARMACY #12, INC</v>
      </c>
      <c r="B4" t="str">
        <f t="shared" si="0"/>
        <v>Pharmacy</v>
      </c>
      <c r="C4" t="str">
        <f>"5 SKYLINE DRIVE SUITE 240"</f>
        <v>5 SKYLINE DRIVE SUITE 240</v>
      </c>
      <c r="D4" t="str">
        <f>""</f>
        <v/>
      </c>
      <c r="E4" t="str">
        <f>"HAWTHORNE"</f>
        <v>HAWTHORNE</v>
      </c>
      <c r="F4" t="str">
        <f>"NY"</f>
        <v>NY</v>
      </c>
      <c r="G4" t="str">
        <f>"10532"</f>
        <v>10532</v>
      </c>
      <c r="H4" t="str">
        <f>"9147895091"</f>
        <v>9147895091</v>
      </c>
      <c r="I4" t="str">
        <f>"ARMENIAN;CHINESE;ENGLISH;RUSSIAN;SPANISH"</f>
        <v>ARMENIAN;CHINESE;ENGLISH;RUSSIAN;SPANISH</v>
      </c>
    </row>
    <row r="5" spans="1:9" x14ac:dyDescent="0.3">
      <c r="A5" t="str">
        <f>"ACCREDO HEALTH GROUP INC"</f>
        <v>ACCREDO HEALTH GROUP INC</v>
      </c>
      <c r="B5" t="str">
        <f t="shared" si="0"/>
        <v>Pharmacy</v>
      </c>
      <c r="C5" t="str">
        <f>"3000 ERICSSON DRIVE"</f>
        <v>3000 ERICSSON DRIVE</v>
      </c>
      <c r="D5" t="str">
        <f>"SUITE 100"</f>
        <v>SUITE 100</v>
      </c>
      <c r="E5" t="str">
        <f>"WARRENDALE"</f>
        <v>WARRENDALE</v>
      </c>
      <c r="F5" t="str">
        <f>"PA"</f>
        <v>PA</v>
      </c>
      <c r="G5" t="str">
        <f>"15086"</f>
        <v>15086</v>
      </c>
      <c r="H5" t="str">
        <f>"7247726000"</f>
        <v>7247726000</v>
      </c>
      <c r="I5" t="str">
        <f>"ENGLISH;INTERPRETER AVAILABLE;SPANISH"</f>
        <v>ENGLISH;INTERPRETER AVAILABLE;SPANISH</v>
      </c>
    </row>
    <row r="6" spans="1:9" x14ac:dyDescent="0.3">
      <c r="A6" t="str">
        <f>"ACCREDO HEALTH GROUP INC"</f>
        <v>ACCREDO HEALTH GROUP INC</v>
      </c>
      <c r="B6" t="str">
        <f t="shared" si="0"/>
        <v>Pharmacy</v>
      </c>
      <c r="C6" t="str">
        <f>"261 CEDAR HILL ST BLDG C"</f>
        <v>261 CEDAR HILL ST BLDG C</v>
      </c>
      <c r="D6" t="str">
        <f>""</f>
        <v/>
      </c>
      <c r="E6" t="str">
        <f>"MARLBOROUGH"</f>
        <v>MARLBOROUGH</v>
      </c>
      <c r="F6" t="str">
        <f>"MA"</f>
        <v>MA</v>
      </c>
      <c r="G6" t="str">
        <f>"01752"</f>
        <v>01752</v>
      </c>
      <c r="H6" t="str">
        <f>"5084600623"</f>
        <v>5084600623</v>
      </c>
      <c r="I6" t="str">
        <f>"ENGLISH;MULTIPLE LANGUAGES;SPANISH"</f>
        <v>ENGLISH;MULTIPLE LANGUAGES;SPANISH</v>
      </c>
    </row>
    <row r="7" spans="1:9" x14ac:dyDescent="0.3">
      <c r="A7" t="str">
        <f>"ACCREDO HEALTH GROUP, INC"</f>
        <v>ACCREDO HEALTH GROUP, INC</v>
      </c>
      <c r="B7" t="str">
        <f t="shared" si="0"/>
        <v>Pharmacy</v>
      </c>
      <c r="C7" t="str">
        <f>"6272 LEE VISTA BLVD, STE #100"</f>
        <v>6272 LEE VISTA BLVD, STE #100</v>
      </c>
      <c r="D7" t="str">
        <f>""</f>
        <v/>
      </c>
      <c r="E7" t="str">
        <f>"ORLANDO"</f>
        <v>ORLANDO</v>
      </c>
      <c r="F7" t="str">
        <f>"FL"</f>
        <v>FL</v>
      </c>
      <c r="G7" t="str">
        <f>"32822"</f>
        <v>32822</v>
      </c>
      <c r="H7" t="str">
        <f>"9013853672"</f>
        <v>9013853672</v>
      </c>
      <c r="I7" t="str">
        <f>"ENGLISH;INTERPRETER AVAILABLE;SPANISH"</f>
        <v>ENGLISH;INTERPRETER AVAILABLE;SPANISH</v>
      </c>
    </row>
    <row r="8" spans="1:9" x14ac:dyDescent="0.3">
      <c r="A8" t="str">
        <f>"ACCREDO HEALTH GROUP, INC"</f>
        <v>ACCREDO HEALTH GROUP, INC</v>
      </c>
      <c r="B8" t="str">
        <f t="shared" si="0"/>
        <v>Pharmacy</v>
      </c>
      <c r="C8" t="str">
        <f>"1620 CENTURY CENTER PARKWAY"</f>
        <v>1620 CENTURY CENTER PARKWAY</v>
      </c>
      <c r="D8" t="str">
        <f>"SUITE 109"</f>
        <v>SUITE 109</v>
      </c>
      <c r="E8" t="str">
        <f>"MEMPHIS"</f>
        <v>MEMPHIS</v>
      </c>
      <c r="F8" t="str">
        <f>"TN"</f>
        <v>TN</v>
      </c>
      <c r="G8" t="str">
        <f>"38134"</f>
        <v>38134</v>
      </c>
      <c r="H8" t="str">
        <f>"9014352388"</f>
        <v>9014352388</v>
      </c>
      <c r="I8" t="str">
        <f>"ENGLISH;SPANISH"</f>
        <v>ENGLISH;SPANISH</v>
      </c>
    </row>
    <row r="9" spans="1:9" x14ac:dyDescent="0.3">
      <c r="A9" t="str">
        <f>"AEV INC  DBA   BEACON PRESCRIPTIONS"</f>
        <v>AEV INC  DBA   BEACON PRESCRIPTIONS</v>
      </c>
      <c r="B9" t="str">
        <f t="shared" si="0"/>
        <v>Pharmacy</v>
      </c>
      <c r="C9" t="str">
        <f>"875 FOXON RD"</f>
        <v>875 FOXON RD</v>
      </c>
      <c r="D9" t="str">
        <f>""</f>
        <v/>
      </c>
      <c r="E9" t="str">
        <f>"EAST HAVEN"</f>
        <v>EAST HAVEN</v>
      </c>
      <c r="F9" t="str">
        <f>"CT"</f>
        <v>CT</v>
      </c>
      <c r="G9" t="str">
        <f>"06513"</f>
        <v>06513</v>
      </c>
      <c r="H9" t="str">
        <f>"2034672600"</f>
        <v>2034672600</v>
      </c>
      <c r="I9" t="str">
        <f>"ENGLISH;SPANISH"</f>
        <v>ENGLISH;SPANISH</v>
      </c>
    </row>
    <row r="10" spans="1:9" x14ac:dyDescent="0.3">
      <c r="A10" t="str">
        <f>"ALBION - HANCOCK PHARMACY, LLC"</f>
        <v>ALBION - HANCOCK PHARMACY, LLC</v>
      </c>
      <c r="B10" t="str">
        <f t="shared" si="0"/>
        <v>Pharmacy</v>
      </c>
      <c r="C10" t="str">
        <f>"2125 FAIRFIELD AVE"</f>
        <v>2125 FAIRFIELD AVE</v>
      </c>
      <c r="D10" t="str">
        <f>""</f>
        <v/>
      </c>
      <c r="E10" t="str">
        <f>"BRIDGEPORT"</f>
        <v>BRIDGEPORT</v>
      </c>
      <c r="F10" t="str">
        <f>"CT"</f>
        <v>CT</v>
      </c>
      <c r="G10" t="str">
        <f>"06605"</f>
        <v>06605</v>
      </c>
      <c r="H10" t="str">
        <f>"2033319200"</f>
        <v>2033319200</v>
      </c>
      <c r="I10" t="str">
        <f>"ENGLISH"</f>
        <v>ENGLISH</v>
      </c>
    </row>
    <row r="11" spans="1:9" x14ac:dyDescent="0.3">
      <c r="A11" t="str">
        <f>"ALLIANCERX WALGREENS PRIME #16287"</f>
        <v>ALLIANCERX WALGREENS PRIME #16287</v>
      </c>
      <c r="B11" t="str">
        <f t="shared" si="0"/>
        <v>Pharmacy</v>
      </c>
      <c r="C11" t="str">
        <f>"130 ENTERPRISE DR"</f>
        <v>130 ENTERPRISE DR</v>
      </c>
      <c r="D11" t="str">
        <f>""</f>
        <v/>
      </c>
      <c r="E11" t="str">
        <f>"PITTSBURGH"</f>
        <v>PITTSBURGH</v>
      </c>
      <c r="F11" t="str">
        <f>"PA"</f>
        <v>PA</v>
      </c>
      <c r="G11" t="str">
        <f>"15275"</f>
        <v>15275</v>
      </c>
      <c r="H11" t="str">
        <f>"8883473416"</f>
        <v>8883473416</v>
      </c>
      <c r="I11" t="str">
        <f>"ENGLISH"</f>
        <v>ENGLISH</v>
      </c>
    </row>
    <row r="12" spans="1:9" x14ac:dyDescent="0.3">
      <c r="A12" t="str">
        <f>"AMBER ENTERPRISES INC DBA AMBER SPECIALTY PHARMAC"</f>
        <v>AMBER ENTERPRISES INC DBA AMBER SPECIALTY PHARMAC</v>
      </c>
      <c r="B12" t="str">
        <f t="shared" si="0"/>
        <v>Pharmacy</v>
      </c>
      <c r="C12" t="str">
        <f>"10004 SO 152ND STREET"</f>
        <v>10004 SO 152ND STREET</v>
      </c>
      <c r="D12" t="str">
        <f>"SUITE A"</f>
        <v>SUITE A</v>
      </c>
      <c r="E12" t="str">
        <f>"OMAHA"</f>
        <v>OMAHA</v>
      </c>
      <c r="F12" t="str">
        <f>"NE"</f>
        <v>NE</v>
      </c>
      <c r="G12" t="str">
        <f>"68138"</f>
        <v>68138</v>
      </c>
      <c r="H12" t="str">
        <f>"8883701724"</f>
        <v>8883701724</v>
      </c>
      <c r="I12" t="str">
        <f>"ENGLISH;SPANISH"</f>
        <v>ENGLISH;SPANISH</v>
      </c>
    </row>
    <row r="13" spans="1:9" x14ac:dyDescent="0.3">
      <c r="A13" t="str">
        <f>"AMITY PHARMACY"</f>
        <v>AMITY PHARMACY</v>
      </c>
      <c r="B13" t="str">
        <f t="shared" si="0"/>
        <v>Pharmacy</v>
      </c>
      <c r="C13" t="str">
        <f>"245 AMITY ROAD"</f>
        <v>245 AMITY ROAD</v>
      </c>
      <c r="D13" t="str">
        <f>""</f>
        <v/>
      </c>
      <c r="E13" t="str">
        <f>"WOODBRIDGE"</f>
        <v>WOODBRIDGE</v>
      </c>
      <c r="F13" t="str">
        <f>"CT"</f>
        <v>CT</v>
      </c>
      <c r="G13" t="str">
        <f>"06525"</f>
        <v>06525</v>
      </c>
      <c r="H13" t="str">
        <f>"2032984338"</f>
        <v>2032984338</v>
      </c>
      <c r="I13" t="str">
        <f t="shared" ref="I13:I18" si="1">"ENGLISH"</f>
        <v>ENGLISH</v>
      </c>
    </row>
    <row r="14" spans="1:9" x14ac:dyDescent="0.3">
      <c r="A14" t="str">
        <f>"ANCHOR HEALTH INITIATIVE CORP."</f>
        <v>ANCHOR HEALTH INITIATIVE CORP.</v>
      </c>
      <c r="B14" t="str">
        <f t="shared" si="0"/>
        <v>Pharmacy</v>
      </c>
      <c r="C14" t="str">
        <f>"30 MYANO LANE"</f>
        <v>30 MYANO LANE</v>
      </c>
      <c r="D14" t="str">
        <f>"STE 16"</f>
        <v>STE 16</v>
      </c>
      <c r="E14" t="str">
        <f>"STAMFORD"</f>
        <v>STAMFORD</v>
      </c>
      <c r="F14" t="str">
        <f>"CT"</f>
        <v>CT</v>
      </c>
      <c r="G14" t="str">
        <f>"06902"</f>
        <v>06902</v>
      </c>
      <c r="H14" t="str">
        <f>"2036600010"</f>
        <v>2036600010</v>
      </c>
      <c r="I14" t="str">
        <f t="shared" si="1"/>
        <v>ENGLISH</v>
      </c>
    </row>
    <row r="15" spans="1:9" x14ac:dyDescent="0.3">
      <c r="A15" t="str">
        <f>"ANOVORX GROUP, LLC"</f>
        <v>ANOVORX GROUP, LLC</v>
      </c>
      <c r="B15" t="str">
        <f t="shared" si="0"/>
        <v>Pharmacy</v>
      </c>
      <c r="C15" t="str">
        <f>"1710 N SHELBY OAKS DR"</f>
        <v>1710 N SHELBY OAKS DR</v>
      </c>
      <c r="D15" t="str">
        <f>"SUITE 1"</f>
        <v>SUITE 1</v>
      </c>
      <c r="E15" t="str">
        <f>"MEMPHIS"</f>
        <v>MEMPHIS</v>
      </c>
      <c r="F15" t="str">
        <f>"TN"</f>
        <v>TN</v>
      </c>
      <c r="G15" t="str">
        <f>"38134"</f>
        <v>38134</v>
      </c>
      <c r="H15" t="str">
        <f>"8442885007"</f>
        <v>8442885007</v>
      </c>
      <c r="I15" t="str">
        <f t="shared" si="1"/>
        <v>ENGLISH</v>
      </c>
    </row>
    <row r="16" spans="1:9" x14ac:dyDescent="0.3">
      <c r="A16" t="str">
        <f>"APOTHECO PHARMACY GLASTONBURY LLC"</f>
        <v>APOTHECO PHARMACY GLASTONBURY LLC</v>
      </c>
      <c r="B16" t="str">
        <f t="shared" si="0"/>
        <v>Pharmacy</v>
      </c>
      <c r="C16" t="str">
        <f>"2848B MAIN ST."</f>
        <v>2848B MAIN ST.</v>
      </c>
      <c r="D16" t="str">
        <f>""</f>
        <v/>
      </c>
      <c r="E16" t="str">
        <f>"GLASTONBURY"</f>
        <v>GLASTONBURY</v>
      </c>
      <c r="F16" t="str">
        <f t="shared" ref="F16:F38" si="2">"CT"</f>
        <v>CT</v>
      </c>
      <c r="G16" t="str">
        <f>"06033"</f>
        <v>06033</v>
      </c>
      <c r="H16" t="str">
        <f>"9592591253"</f>
        <v>9592591253</v>
      </c>
      <c r="I16" t="str">
        <f t="shared" si="1"/>
        <v>ENGLISH</v>
      </c>
    </row>
    <row r="17" spans="1:9" x14ac:dyDescent="0.3">
      <c r="A17" t="str">
        <f>"BACKUS RETAIL PHARMACY"</f>
        <v>BACKUS RETAIL PHARMACY</v>
      </c>
      <c r="B17" t="str">
        <f t="shared" si="0"/>
        <v>Pharmacy</v>
      </c>
      <c r="C17" t="str">
        <f>"326 WASHINGTON ST"</f>
        <v>326 WASHINGTON ST</v>
      </c>
      <c r="D17" t="str">
        <f>""</f>
        <v/>
      </c>
      <c r="E17" t="str">
        <f>"NORWICH"</f>
        <v>NORWICH</v>
      </c>
      <c r="F17" t="str">
        <f t="shared" si="2"/>
        <v>CT</v>
      </c>
      <c r="G17" t="str">
        <f>"06360"</f>
        <v>06360</v>
      </c>
      <c r="H17" t="str">
        <f>"8604254850"</f>
        <v>8604254850</v>
      </c>
      <c r="I17" t="str">
        <f t="shared" si="1"/>
        <v>ENGLISH</v>
      </c>
    </row>
    <row r="18" spans="1:9" x14ac:dyDescent="0.3">
      <c r="A18" t="str">
        <f>"BACKUS RETAIL PHARMACY"</f>
        <v>BACKUS RETAIL PHARMACY</v>
      </c>
      <c r="B18" t="str">
        <f t="shared" si="0"/>
        <v>Pharmacy</v>
      </c>
      <c r="C18" t="str">
        <f>"326 WASHINGTON ST"</f>
        <v>326 WASHINGTON ST</v>
      </c>
      <c r="D18" t="str">
        <f>""</f>
        <v/>
      </c>
      <c r="E18" t="str">
        <f>"NORWICH"</f>
        <v>NORWICH</v>
      </c>
      <c r="F18" t="str">
        <f t="shared" si="2"/>
        <v>CT</v>
      </c>
      <c r="G18" t="str">
        <f>"06360"</f>
        <v>06360</v>
      </c>
      <c r="H18" t="str">
        <f>"8604254850"</f>
        <v>8604254850</v>
      </c>
      <c r="I18" t="str">
        <f t="shared" si="1"/>
        <v>ENGLISH</v>
      </c>
    </row>
    <row r="19" spans="1:9" x14ac:dyDescent="0.3">
      <c r="A19" t="str">
        <f>"BEACON PHARMACY LLC"</f>
        <v>BEACON PHARMACY LLC</v>
      </c>
      <c r="B19" t="str">
        <f t="shared" si="0"/>
        <v>Pharmacy</v>
      </c>
      <c r="C19" t="str">
        <f>"42 WINDSOR AVE"</f>
        <v>42 WINDSOR AVE</v>
      </c>
      <c r="D19" t="str">
        <f>""</f>
        <v/>
      </c>
      <c r="E19" t="str">
        <f>"VERNON ROCKVILLE"</f>
        <v>VERNON ROCKVILLE</v>
      </c>
      <c r="F19" t="str">
        <f t="shared" si="2"/>
        <v>CT</v>
      </c>
      <c r="G19" t="str">
        <f>"06066"</f>
        <v>06066</v>
      </c>
      <c r="H19" t="str">
        <f>"8608759263"</f>
        <v>8608759263</v>
      </c>
      <c r="I19" t="str">
        <f>"ENGLISH;HINDI;SPANISH"</f>
        <v>ENGLISH;HINDI;SPANISH</v>
      </c>
    </row>
    <row r="20" spans="1:9" x14ac:dyDescent="0.3">
      <c r="A20" t="str">
        <f>"BELLA VISTA SURG PHARMACY"</f>
        <v>BELLA VISTA SURG PHARMACY</v>
      </c>
      <c r="B20" t="str">
        <f t="shared" si="0"/>
        <v>Pharmacy</v>
      </c>
      <c r="C20" t="str">
        <f>"321 EASTERN STREET"</f>
        <v>321 EASTERN STREET</v>
      </c>
      <c r="D20" t="str">
        <f>""</f>
        <v/>
      </c>
      <c r="E20" t="str">
        <f>"NEW HAVEN"</f>
        <v>NEW HAVEN</v>
      </c>
      <c r="F20" t="str">
        <f t="shared" si="2"/>
        <v>CT</v>
      </c>
      <c r="G20" t="str">
        <f>"06513"</f>
        <v>06513</v>
      </c>
      <c r="H20" t="str">
        <f>"8609217210"</f>
        <v>8609217210</v>
      </c>
      <c r="I20" t="str">
        <f>"ENGLISH;SPANISH"</f>
        <v>ENGLISH;SPANISH</v>
      </c>
    </row>
    <row r="21" spans="1:9" x14ac:dyDescent="0.3">
      <c r="A21" t="str">
        <f>"BIG Y FOODS, INC."</f>
        <v>BIG Y FOODS, INC.</v>
      </c>
      <c r="B21" t="str">
        <f t="shared" si="0"/>
        <v>Pharmacy</v>
      </c>
      <c r="C21" t="str">
        <f>"85 BRIDGE STREET"</f>
        <v>85 BRIDGE STREET</v>
      </c>
      <c r="D21" t="str">
        <f>""</f>
        <v/>
      </c>
      <c r="E21" t="str">
        <f>"NAUGATUCK"</f>
        <v>NAUGATUCK</v>
      </c>
      <c r="F21" t="str">
        <f t="shared" si="2"/>
        <v>CT</v>
      </c>
      <c r="G21" t="str">
        <f>"06770"</f>
        <v>06770</v>
      </c>
      <c r="H21" t="str">
        <f>"4135044492"</f>
        <v>4135044492</v>
      </c>
      <c r="I21" t="str">
        <f t="shared" ref="I21:I38" si="3">"ENGLISH"</f>
        <v>ENGLISH</v>
      </c>
    </row>
    <row r="22" spans="1:9" x14ac:dyDescent="0.3">
      <c r="A22" t="str">
        <f>"BIG Y FOODS, INC."</f>
        <v>BIG Y FOODS, INC.</v>
      </c>
      <c r="B22" t="str">
        <f t="shared" si="0"/>
        <v>Pharmacy</v>
      </c>
      <c r="C22" t="str">
        <f>"7 E HAMPTON ROAD"</f>
        <v>7 E HAMPTON ROAD</v>
      </c>
      <c r="D22" t="str">
        <f>"ROUTE 66"</f>
        <v>ROUTE 66</v>
      </c>
      <c r="E22" t="str">
        <f>"MARLBOROUGH"</f>
        <v>MARLBOROUGH</v>
      </c>
      <c r="F22" t="str">
        <f t="shared" si="2"/>
        <v>CT</v>
      </c>
      <c r="G22" t="str">
        <f>"06447"</f>
        <v>06447</v>
      </c>
      <c r="H22" t="str">
        <f>"8604679138"</f>
        <v>8604679138</v>
      </c>
      <c r="I22" t="str">
        <f t="shared" si="3"/>
        <v>ENGLISH</v>
      </c>
    </row>
    <row r="23" spans="1:9" x14ac:dyDescent="0.3">
      <c r="A23" t="str">
        <f>"BIG Y FOODS, INC."</f>
        <v>BIG Y FOODS, INC.</v>
      </c>
      <c r="B23" t="str">
        <f t="shared" si="0"/>
        <v>Pharmacy</v>
      </c>
      <c r="C23" t="str">
        <f>"79 STONINGTON ROAD"</f>
        <v>79 STONINGTON ROAD</v>
      </c>
      <c r="D23" t="str">
        <f>""</f>
        <v/>
      </c>
      <c r="E23" t="str">
        <f>"MYSTIC"</f>
        <v>MYSTIC</v>
      </c>
      <c r="F23" t="str">
        <f t="shared" si="2"/>
        <v>CT</v>
      </c>
      <c r="G23" t="str">
        <f>"06355"</f>
        <v>06355</v>
      </c>
      <c r="H23" t="str">
        <f>"4135044492"</f>
        <v>4135044492</v>
      </c>
      <c r="I23" t="str">
        <f t="shared" si="3"/>
        <v>ENGLISH</v>
      </c>
    </row>
    <row r="24" spans="1:9" x14ac:dyDescent="0.3">
      <c r="A24" t="str">
        <f>"BIG Y FOODS, INC."</f>
        <v>BIG Y FOODS, INC.</v>
      </c>
      <c r="B24" t="str">
        <f t="shared" si="0"/>
        <v>Pharmacy</v>
      </c>
      <c r="C24" t="str">
        <f>"995 POQUONNOCK ROAD"</f>
        <v>995 POQUONNOCK ROAD</v>
      </c>
      <c r="D24" t="str">
        <f>"BIG Y PHARMACY #61"</f>
        <v>BIG Y PHARMACY #61</v>
      </c>
      <c r="E24" t="str">
        <f>"GROTON"</f>
        <v>GROTON</v>
      </c>
      <c r="F24" t="str">
        <f t="shared" si="2"/>
        <v>CT</v>
      </c>
      <c r="G24" t="str">
        <f>"06340"</f>
        <v>06340</v>
      </c>
      <c r="H24" t="str">
        <f>"4135044492"</f>
        <v>4135044492</v>
      </c>
      <c r="I24" t="str">
        <f t="shared" si="3"/>
        <v>ENGLISH</v>
      </c>
    </row>
    <row r="25" spans="1:9" x14ac:dyDescent="0.3">
      <c r="A25" t="str">
        <f>"BIG Y FOODS, INC."</f>
        <v>BIG Y FOODS, INC.</v>
      </c>
      <c r="B25" t="str">
        <f t="shared" si="0"/>
        <v>Pharmacy</v>
      </c>
      <c r="C25" t="str">
        <f>"135 WEST ROAD"</f>
        <v>135 WEST ROAD</v>
      </c>
      <c r="D25" t="str">
        <f>"BIG Y PHARMACY #73"</f>
        <v>BIG Y PHARMACY #73</v>
      </c>
      <c r="E25" t="str">
        <f>"ELLINGTON"</f>
        <v>ELLINGTON</v>
      </c>
      <c r="F25" t="str">
        <f t="shared" si="2"/>
        <v>CT</v>
      </c>
      <c r="G25" t="str">
        <f>"06029"</f>
        <v>06029</v>
      </c>
      <c r="H25" t="str">
        <f>"4135044492"</f>
        <v>4135044492</v>
      </c>
      <c r="I25" t="str">
        <f t="shared" si="3"/>
        <v>ENGLISH</v>
      </c>
    </row>
    <row r="26" spans="1:9" x14ac:dyDescent="0.3">
      <c r="A26" t="str">
        <f>"BIG Y FOODS, INC. DBA BIG Y PHARMACY #45"</f>
        <v>BIG Y FOODS, INC. DBA BIG Y PHARMACY #45</v>
      </c>
      <c r="B26" t="str">
        <f t="shared" si="0"/>
        <v>Pharmacy</v>
      </c>
      <c r="C26" t="str">
        <f>"234 TOLLAND TURNPIKE"</f>
        <v>234 TOLLAND TURNPIKE</v>
      </c>
      <c r="D26" t="str">
        <f>""</f>
        <v/>
      </c>
      <c r="E26" t="str">
        <f>"MANCHESTER"</f>
        <v>MANCHESTER</v>
      </c>
      <c r="F26" t="str">
        <f t="shared" si="2"/>
        <v>CT</v>
      </c>
      <c r="G26" t="str">
        <f>"06040"</f>
        <v>06040</v>
      </c>
      <c r="H26" t="str">
        <f>"4135044495"</f>
        <v>4135044495</v>
      </c>
      <c r="I26" t="str">
        <f t="shared" si="3"/>
        <v>ENGLISH</v>
      </c>
    </row>
    <row r="27" spans="1:9" x14ac:dyDescent="0.3">
      <c r="A27" t="str">
        <f>"BIG Y PHARAMCY #87"</f>
        <v>BIG Y PHARAMCY #87</v>
      </c>
      <c r="B27" t="str">
        <f t="shared" si="0"/>
        <v>Pharmacy</v>
      </c>
      <c r="C27" t="str">
        <f>"1289 FOXON RD"</f>
        <v>1289 FOXON RD</v>
      </c>
      <c r="D27" t="str">
        <f>""</f>
        <v/>
      </c>
      <c r="E27" t="str">
        <f>"NORTH BRANFORD"</f>
        <v>NORTH BRANFORD</v>
      </c>
      <c r="F27" t="str">
        <f t="shared" si="2"/>
        <v>CT</v>
      </c>
      <c r="G27" t="str">
        <f>"06471"</f>
        <v>06471</v>
      </c>
      <c r="H27" t="str">
        <f>"4135044492"</f>
        <v>4135044492</v>
      </c>
      <c r="I27" t="str">
        <f t="shared" si="3"/>
        <v>ENGLISH</v>
      </c>
    </row>
    <row r="28" spans="1:9" x14ac:dyDescent="0.3">
      <c r="A28" t="str">
        <f>"BIG Y PHARMACY #17"</f>
        <v>BIG Y PHARMACY #17</v>
      </c>
      <c r="B28" t="str">
        <f t="shared" si="0"/>
        <v>Pharmacy</v>
      </c>
      <c r="C28" t="str">
        <f>"87 WEST STAFFORD SPRING PLZA"</f>
        <v>87 WEST STAFFORD SPRING PLZA</v>
      </c>
      <c r="D28" t="str">
        <f>"BIG Y PHARMACY #17"</f>
        <v>BIG Y PHARMACY #17</v>
      </c>
      <c r="E28" t="str">
        <f>"STAFFORD SPRINGS"</f>
        <v>STAFFORD SPRINGS</v>
      </c>
      <c r="F28" t="str">
        <f t="shared" si="2"/>
        <v>CT</v>
      </c>
      <c r="G28" t="str">
        <f>"06076"</f>
        <v>06076</v>
      </c>
      <c r="H28" t="str">
        <f>"4135044492"</f>
        <v>4135044492</v>
      </c>
      <c r="I28" t="str">
        <f t="shared" si="3"/>
        <v>ENGLISH</v>
      </c>
    </row>
    <row r="29" spans="1:9" x14ac:dyDescent="0.3">
      <c r="A29" t="str">
        <f>"BIG Y PHARMACY #30"</f>
        <v>BIG Y PHARMACY #30</v>
      </c>
      <c r="B29" t="str">
        <f t="shared" si="0"/>
        <v>Pharmacy</v>
      </c>
      <c r="C29" t="str">
        <f>"224 SALEM TURNPIKE"</f>
        <v>224 SALEM TURNPIKE</v>
      </c>
      <c r="D29" t="str">
        <f>"BIG Y PHARMACY #30"</f>
        <v>BIG Y PHARMACY #30</v>
      </c>
      <c r="E29" t="str">
        <f>"NORWICH"</f>
        <v>NORWICH</v>
      </c>
      <c r="F29" t="str">
        <f t="shared" si="2"/>
        <v>CT</v>
      </c>
      <c r="G29" t="str">
        <f>"06360"</f>
        <v>06360</v>
      </c>
      <c r="H29" t="str">
        <f>"4135044492"</f>
        <v>4135044492</v>
      </c>
      <c r="I29" t="str">
        <f t="shared" si="3"/>
        <v>ENGLISH</v>
      </c>
    </row>
    <row r="30" spans="1:9" x14ac:dyDescent="0.3">
      <c r="A30" t="str">
        <f>"BIG Y PHARMACY #31"</f>
        <v>BIG Y PHARMACY #31</v>
      </c>
      <c r="B30" t="str">
        <f t="shared" si="0"/>
        <v>Pharmacy</v>
      </c>
      <c r="C30" t="str">
        <f>"70 WAUREGAN ROAD"</f>
        <v>70 WAUREGAN ROAD</v>
      </c>
      <c r="D30" t="str">
        <f>"BIG Y PHARMACY #31"</f>
        <v>BIG Y PHARMACY #31</v>
      </c>
      <c r="E30" t="str">
        <f>"DANIELSON"</f>
        <v>DANIELSON</v>
      </c>
      <c r="F30" t="str">
        <f t="shared" si="2"/>
        <v>CT</v>
      </c>
      <c r="G30" t="str">
        <f>"06239"</f>
        <v>06239</v>
      </c>
      <c r="H30" t="str">
        <f>"4135044492"</f>
        <v>4135044492</v>
      </c>
      <c r="I30" t="str">
        <f t="shared" si="3"/>
        <v>ENGLISH</v>
      </c>
    </row>
    <row r="31" spans="1:9" x14ac:dyDescent="0.3">
      <c r="A31" t="str">
        <f>"BIG Y PHARMACY #34"</f>
        <v>BIG Y PHARMACY #34</v>
      </c>
      <c r="B31" t="str">
        <f t="shared" si="0"/>
        <v>Pharmacy</v>
      </c>
      <c r="C31" t="str">
        <f>"141 B STORRS RD"</f>
        <v>141 B STORRS RD</v>
      </c>
      <c r="D31" t="str">
        <f>"BIG Y PHARMACY # 34"</f>
        <v>BIG Y PHARMACY # 34</v>
      </c>
      <c r="E31" t="str">
        <f>"MANSFIELD"</f>
        <v>MANSFIELD</v>
      </c>
      <c r="F31" t="str">
        <f t="shared" si="2"/>
        <v>CT</v>
      </c>
      <c r="G31" t="str">
        <f>"06250"</f>
        <v>06250</v>
      </c>
      <c r="H31" t="str">
        <f>"4135044492"</f>
        <v>4135044492</v>
      </c>
      <c r="I31" t="str">
        <f t="shared" si="3"/>
        <v>ENGLISH</v>
      </c>
    </row>
    <row r="32" spans="1:9" x14ac:dyDescent="0.3">
      <c r="A32" t="str">
        <f>"BIG Y PHARMACY #56"</f>
        <v>BIG Y PHARMACY #56</v>
      </c>
      <c r="B32" t="str">
        <f t="shared" si="0"/>
        <v>Pharmacy</v>
      </c>
      <c r="C32" t="str">
        <f>"1 KENT ROAD"</f>
        <v>1 KENT ROAD</v>
      </c>
      <c r="D32" t="str">
        <f>""</f>
        <v/>
      </c>
      <c r="E32" t="str">
        <f>"NEW MILFORD"</f>
        <v>NEW MILFORD</v>
      </c>
      <c r="F32" t="str">
        <f t="shared" si="2"/>
        <v>CT</v>
      </c>
      <c r="G32" t="str">
        <f>"06776"</f>
        <v>06776</v>
      </c>
      <c r="H32" t="str">
        <f>"4135044495"</f>
        <v>4135044495</v>
      </c>
      <c r="I32" t="str">
        <f t="shared" si="3"/>
        <v>ENGLISH</v>
      </c>
    </row>
    <row r="33" spans="1:9" x14ac:dyDescent="0.3">
      <c r="A33" t="str">
        <f>"BIG Y PHARMACY #59"</f>
        <v>BIG Y PHARMACY #59</v>
      </c>
      <c r="B33" t="str">
        <f t="shared" si="0"/>
        <v>Pharmacy</v>
      </c>
      <c r="C33" t="str">
        <f>"504 WINSTED ROAD"</f>
        <v>504 WINSTED ROAD</v>
      </c>
      <c r="D33" t="str">
        <f>""</f>
        <v/>
      </c>
      <c r="E33" t="str">
        <f>"TORRINGTON"</f>
        <v>TORRINGTON</v>
      </c>
      <c r="F33" t="str">
        <f t="shared" si="2"/>
        <v>CT</v>
      </c>
      <c r="G33" t="str">
        <f>"06790"</f>
        <v>06790</v>
      </c>
      <c r="H33" t="str">
        <f>"4135044495"</f>
        <v>4135044495</v>
      </c>
      <c r="I33" t="str">
        <f t="shared" si="3"/>
        <v>ENGLISH</v>
      </c>
    </row>
    <row r="34" spans="1:9" x14ac:dyDescent="0.3">
      <c r="A34" t="str">
        <f>"BIG Y PHARMACY #60"</f>
        <v>BIG Y PHARMACY #60</v>
      </c>
      <c r="B34" t="str">
        <f t="shared" si="0"/>
        <v>Pharmacy</v>
      </c>
      <c r="C34" t="str">
        <f>"67 PROSPECT HILL ROAD"</f>
        <v>67 PROSPECT HILL ROAD</v>
      </c>
      <c r="D34" t="str">
        <f>"BIG Y PHARMACY #60"</f>
        <v>BIG Y PHARMACY #60</v>
      </c>
      <c r="E34" t="str">
        <f>"EAST WINDSOR"</f>
        <v>EAST WINDSOR</v>
      </c>
      <c r="F34" t="str">
        <f t="shared" si="2"/>
        <v>CT</v>
      </c>
      <c r="G34" t="str">
        <f>"06088"</f>
        <v>06088</v>
      </c>
      <c r="H34" t="str">
        <f>"4135044492"</f>
        <v>4135044492</v>
      </c>
      <c r="I34" t="str">
        <f t="shared" si="3"/>
        <v>ENGLISH</v>
      </c>
    </row>
    <row r="35" spans="1:9" x14ac:dyDescent="0.3">
      <c r="A35" t="str">
        <f>"BIG Y PHARMACY #81"</f>
        <v>BIG Y PHARMACY #81</v>
      </c>
      <c r="B35" t="str">
        <f t="shared" si="0"/>
        <v>Pharmacy</v>
      </c>
      <c r="C35" t="str">
        <f>"33 FIELDSTONE COMMONS"</f>
        <v>33 FIELDSTONE COMMONS</v>
      </c>
      <c r="D35" t="str">
        <f>""</f>
        <v/>
      </c>
      <c r="E35" t="str">
        <f>"TOLLAND"</f>
        <v>TOLLAND</v>
      </c>
      <c r="F35" t="str">
        <f t="shared" si="2"/>
        <v>CT</v>
      </c>
      <c r="G35" t="str">
        <f>"06084"</f>
        <v>06084</v>
      </c>
      <c r="H35" t="str">
        <f>"4135044492"</f>
        <v>4135044492</v>
      </c>
      <c r="I35" t="str">
        <f t="shared" si="3"/>
        <v>ENGLISH</v>
      </c>
    </row>
    <row r="36" spans="1:9" x14ac:dyDescent="0.3">
      <c r="A36" t="str">
        <f>"BIG Y PHARMACY #82"</f>
        <v>BIG Y PHARMACY #82</v>
      </c>
      <c r="B36" t="str">
        <f t="shared" si="0"/>
        <v>Pharmacy</v>
      </c>
      <c r="C36" t="str">
        <f>"81 STONY HILL RD"</f>
        <v>81 STONY HILL RD</v>
      </c>
      <c r="D36" t="str">
        <f>"BIG Y PHARMACY #82"</f>
        <v>BIG Y PHARMACY #82</v>
      </c>
      <c r="E36" t="str">
        <f>"BETHEL"</f>
        <v>BETHEL</v>
      </c>
      <c r="F36" t="str">
        <f t="shared" si="2"/>
        <v>CT</v>
      </c>
      <c r="G36" t="str">
        <f>"06801"</f>
        <v>06801</v>
      </c>
      <c r="H36" t="str">
        <f>"4135044495"</f>
        <v>4135044495</v>
      </c>
      <c r="I36" t="str">
        <f t="shared" si="3"/>
        <v>ENGLISH</v>
      </c>
    </row>
    <row r="37" spans="1:9" x14ac:dyDescent="0.3">
      <c r="A37" t="str">
        <f>"BIG Y PHARMACY #84"</f>
        <v>BIG Y PHARMACY #84</v>
      </c>
      <c r="B37" t="str">
        <f t="shared" si="0"/>
        <v>Pharmacy</v>
      </c>
      <c r="C37" t="str">
        <f>"355 HAWLEY LANE"</f>
        <v>355 HAWLEY LANE</v>
      </c>
      <c r="D37" t="str">
        <f>""</f>
        <v/>
      </c>
      <c r="E37" t="str">
        <f>"STRATFORD"</f>
        <v>STRATFORD</v>
      </c>
      <c r="F37" t="str">
        <f t="shared" si="2"/>
        <v>CT</v>
      </c>
      <c r="G37" t="str">
        <f>"06614"</f>
        <v>06614</v>
      </c>
      <c r="H37" t="str">
        <f>"4135044495"</f>
        <v>4135044495</v>
      </c>
      <c r="I37" t="str">
        <f t="shared" si="3"/>
        <v>ENGLISH</v>
      </c>
    </row>
    <row r="38" spans="1:9" x14ac:dyDescent="0.3">
      <c r="A38" t="str">
        <f>"BIG Y PHARMCY #58"</f>
        <v>BIG Y PHARMCY #58</v>
      </c>
      <c r="B38" t="str">
        <f t="shared" si="0"/>
        <v>Pharmacy</v>
      </c>
      <c r="C38" t="str">
        <f>"22 SPENCER PLAIN ROAD"</f>
        <v>22 SPENCER PLAIN ROAD</v>
      </c>
      <c r="D38" t="str">
        <f>""</f>
        <v/>
      </c>
      <c r="E38" t="str">
        <f>"OLD SAYBROOK"</f>
        <v>OLD SAYBROOK</v>
      </c>
      <c r="F38" t="str">
        <f t="shared" si="2"/>
        <v>CT</v>
      </c>
      <c r="G38" t="str">
        <f>"06475"</f>
        <v>06475</v>
      </c>
      <c r="H38" t="str">
        <f>"4135044492"</f>
        <v>4135044492</v>
      </c>
      <c r="I38" t="str">
        <f t="shared" si="3"/>
        <v>ENGLISH</v>
      </c>
    </row>
    <row r="39" spans="1:9" x14ac:dyDescent="0.3">
      <c r="A39" t="str">
        <f>"BIOLOGICS INC."</f>
        <v>BIOLOGICS INC.</v>
      </c>
      <c r="B39" t="str">
        <f t="shared" si="0"/>
        <v>Pharmacy</v>
      </c>
      <c r="C39" t="str">
        <f>"11800 WESTON PARKWAY"</f>
        <v>11800 WESTON PARKWAY</v>
      </c>
      <c r="D39" t="str">
        <f>""</f>
        <v/>
      </c>
      <c r="E39" t="str">
        <f>"CARY"</f>
        <v>CARY</v>
      </c>
      <c r="F39" t="str">
        <f>"NC"</f>
        <v>NC</v>
      </c>
      <c r="G39" t="str">
        <f>"27513"</f>
        <v>27513</v>
      </c>
      <c r="H39" t="str">
        <f>"9192749145"</f>
        <v>9192749145</v>
      </c>
      <c r="I39" t="str">
        <f>"ENGLISH;INTERPRETER AVAILABLE;POLISH;PORTUGUESE;RUSSIAN;SPANISH"</f>
        <v>ENGLISH;INTERPRETER AVAILABLE;POLISH;PORTUGUESE;RUSSIAN;SPANISH</v>
      </c>
    </row>
    <row r="40" spans="1:9" x14ac:dyDescent="0.3">
      <c r="A40" t="str">
        <f>"BIOMED PHARMACEUTICALS INC"</f>
        <v>BIOMED PHARMACEUTICALS INC</v>
      </c>
      <c r="B40" t="str">
        <f t="shared" si="0"/>
        <v>Pharmacy</v>
      </c>
      <c r="C40" t="str">
        <f>"4 SKYLINE DRIVE"</f>
        <v>4 SKYLINE DRIVE</v>
      </c>
      <c r="D40" t="str">
        <f>""</f>
        <v/>
      </c>
      <c r="E40" t="str">
        <f>"HAWTHORNE"</f>
        <v>HAWTHORNE</v>
      </c>
      <c r="F40" t="str">
        <f>"NY"</f>
        <v>NY</v>
      </c>
      <c r="G40" t="str">
        <f>"10532"</f>
        <v>10532</v>
      </c>
      <c r="H40" t="str">
        <f>"8003956143"</f>
        <v>8003956143</v>
      </c>
      <c r="I40" t="str">
        <f>"ENGLISH"</f>
        <v>ENGLISH</v>
      </c>
    </row>
    <row r="41" spans="1:9" x14ac:dyDescent="0.3">
      <c r="A41" t="str">
        <f>"BIOPLUS SPECIALTY PHARMACY SERVICES, LLC"</f>
        <v>BIOPLUS SPECIALTY PHARMACY SERVICES, LLC</v>
      </c>
      <c r="B41" t="str">
        <f t="shared" si="0"/>
        <v>Pharmacy</v>
      </c>
      <c r="C41" t="str">
        <f>"376 NORTHLAKE BLVD"</f>
        <v>376 NORTHLAKE BLVD</v>
      </c>
      <c r="D41" t="str">
        <f>"SUITE 1008"</f>
        <v>SUITE 1008</v>
      </c>
      <c r="E41" t="str">
        <f>"ALTAMONTE SPRINGS"</f>
        <v>ALTAMONTE SPRINGS</v>
      </c>
      <c r="F41" t="str">
        <f>"FL"</f>
        <v>FL</v>
      </c>
      <c r="G41" t="str">
        <f>"32701"</f>
        <v>32701</v>
      </c>
      <c r="H41" t="str">
        <f>"8882920744"</f>
        <v>8882920744</v>
      </c>
      <c r="I41" t="str">
        <f>"ENGLISH;FRENCH;GREEK, MODERN (1453-);POLISH;PORTUGUESE;RUSSIAN;SPANISH"</f>
        <v>ENGLISH;FRENCH;GREEK, MODERN (1453-);POLISH;PORTUGUESE;RUSSIAN;SPANISH</v>
      </c>
    </row>
    <row r="42" spans="1:9" x14ac:dyDescent="0.3">
      <c r="A42" t="str">
        <f>"BIOPLUS SPECIALTY PHARMACY, INC"</f>
        <v>BIOPLUS SPECIALTY PHARMACY, INC</v>
      </c>
      <c r="B42" t="str">
        <f t="shared" si="0"/>
        <v>Pharmacy</v>
      </c>
      <c r="C42" t="str">
        <f>"3200 LAKE EMMA ROAD"</f>
        <v>3200 LAKE EMMA ROAD</v>
      </c>
      <c r="D42" t="str">
        <f>"SUITE 1000"</f>
        <v>SUITE 1000</v>
      </c>
      <c r="E42" t="str">
        <f>"LAKE MARY"</f>
        <v>LAKE MARY</v>
      </c>
      <c r="F42" t="str">
        <f>"FL"</f>
        <v>FL</v>
      </c>
      <c r="G42" t="str">
        <f>"32746"</f>
        <v>32746</v>
      </c>
      <c r="H42" t="str">
        <f>"8557333126"</f>
        <v>8557333126</v>
      </c>
      <c r="I42" t="str">
        <f>"CREOLES AND PIDGINS, FRENCH-BASED (OTHER);ENGLISH;GERMAN;ITALIAN;POLISH;PORTUGUESE;RUSSIAN;SPANISH;"</f>
        <v>CREOLES AND PIDGINS, FRENCH-BASED (OTHER);ENGLISH;GERMAN;ITALIAN;POLISH;PORTUGUESE;RUSSIAN;SPANISH;</v>
      </c>
    </row>
    <row r="43" spans="1:9" x14ac:dyDescent="0.3">
      <c r="A43" t="str">
        <f>"BIOSCRIP INFUSION SERVICES, LLC"</f>
        <v>BIOSCRIP INFUSION SERVICES, LLC</v>
      </c>
      <c r="B43" t="str">
        <f t="shared" si="0"/>
        <v>Pharmacy</v>
      </c>
      <c r="C43" t="str">
        <f>"6 VREELAND RD"</f>
        <v>6 VREELAND RD</v>
      </c>
      <c r="D43" t="str">
        <f>"SUITE 103"</f>
        <v>SUITE 103</v>
      </c>
      <c r="E43" t="str">
        <f>"FLORHAM PARK"</f>
        <v>FLORHAM PARK</v>
      </c>
      <c r="F43" t="str">
        <f>"NJ"</f>
        <v>NJ</v>
      </c>
      <c r="G43" t="str">
        <f>"07932"</f>
        <v>07932</v>
      </c>
      <c r="H43" t="str">
        <f>"8005523462"</f>
        <v>8005523462</v>
      </c>
      <c r="I43" t="str">
        <f>"CHINESE;CZECH;ENGLISH;FRENCH;ITALIAN;RUSSIAN;SPANISH;TAGALOG;UKRAINIAN"</f>
        <v>CHINESE;CZECH;ENGLISH;FRENCH;ITALIAN;RUSSIAN;SPANISH;TAGALOG;UKRAINIAN</v>
      </c>
    </row>
    <row r="44" spans="1:9" x14ac:dyDescent="0.3">
      <c r="A44" t="str">
        <f>"BIOSCRIP PHARMACY SERVICES, INC"</f>
        <v>BIOSCRIP PHARMACY SERVICES, INC</v>
      </c>
      <c r="B44" t="str">
        <f t="shared" si="0"/>
        <v>Pharmacy</v>
      </c>
      <c r="C44" t="str">
        <f>"5700 PERIMETER DRIVE"</f>
        <v>5700 PERIMETER DRIVE</v>
      </c>
      <c r="D44" t="str">
        <f>"SUITE B"</f>
        <v>SUITE B</v>
      </c>
      <c r="E44" t="str">
        <f>"DUBLIN"</f>
        <v>DUBLIN</v>
      </c>
      <c r="F44" t="str">
        <f>"OH"</f>
        <v>OH</v>
      </c>
      <c r="G44" t="str">
        <f>"43017"</f>
        <v>43017</v>
      </c>
      <c r="H44" t="str">
        <f>"6148506700"</f>
        <v>6148506700</v>
      </c>
      <c r="I44" t="str">
        <f>"ENGLISH;SPANISH"</f>
        <v>ENGLISH;SPANISH</v>
      </c>
    </row>
    <row r="45" spans="1:9" x14ac:dyDescent="0.3">
      <c r="A45" t="str">
        <f>"BLACK ROCK PHARMACY LLC"</f>
        <v>BLACK ROCK PHARMACY LLC</v>
      </c>
      <c r="B45" t="str">
        <f t="shared" si="0"/>
        <v>Pharmacy</v>
      </c>
      <c r="C45" t="str">
        <f>"1838 BLACK ROCK TURNPIKE"</f>
        <v>1838 BLACK ROCK TURNPIKE</v>
      </c>
      <c r="D45" t="str">
        <f>""</f>
        <v/>
      </c>
      <c r="E45" t="str">
        <f>"FAIRFIELD"</f>
        <v>FAIRFIELD</v>
      </c>
      <c r="F45" t="str">
        <f>"CT"</f>
        <v>CT</v>
      </c>
      <c r="G45" t="str">
        <f>"06825"</f>
        <v>06825</v>
      </c>
      <c r="H45" t="str">
        <f>"2038708800"</f>
        <v>2038708800</v>
      </c>
      <c r="I45" t="str">
        <f>"ENGLISH"</f>
        <v>ENGLISH</v>
      </c>
    </row>
    <row r="46" spans="1:9" x14ac:dyDescent="0.3">
      <c r="A46" t="str">
        <f>"BOLBOL LLC"</f>
        <v>BOLBOL LLC</v>
      </c>
      <c r="B46" t="str">
        <f t="shared" si="0"/>
        <v>Pharmacy</v>
      </c>
      <c r="C46" t="str">
        <f>"79 EAST ST"</f>
        <v>79 EAST ST</v>
      </c>
      <c r="D46" t="str">
        <f>""</f>
        <v/>
      </c>
      <c r="E46" t="str">
        <f>"VERNON ROCKVILLE"</f>
        <v>VERNON ROCKVILLE</v>
      </c>
      <c r="F46" t="str">
        <f>"CT"</f>
        <v>CT</v>
      </c>
      <c r="G46" t="str">
        <f>"06066"</f>
        <v>06066</v>
      </c>
      <c r="H46" t="str">
        <f>"8608752507"</f>
        <v>8608752507</v>
      </c>
      <c r="I46" t="str">
        <f>"ENGLISH"</f>
        <v>ENGLISH</v>
      </c>
    </row>
    <row r="47" spans="1:9" x14ac:dyDescent="0.3">
      <c r="A47" t="str">
        <f>"BOSTON CHILDREN'S HEALTH SOLUTIONS RX, LLC"</f>
        <v>BOSTON CHILDREN'S HEALTH SOLUTIONS RX, LLC</v>
      </c>
      <c r="B47" t="str">
        <f t="shared" si="0"/>
        <v>Pharmacy</v>
      </c>
      <c r="C47" t="str">
        <f>"283 LONGWOOD AVE"</f>
        <v>283 LONGWOOD AVE</v>
      </c>
      <c r="D47" t="str">
        <f>""</f>
        <v/>
      </c>
      <c r="E47" t="str">
        <f>"BOSTON"</f>
        <v>BOSTON</v>
      </c>
      <c r="F47" t="str">
        <f>"MA"</f>
        <v>MA</v>
      </c>
      <c r="G47" t="str">
        <f>"02115"</f>
        <v>02115</v>
      </c>
      <c r="H47" t="str">
        <f>"6179195330"</f>
        <v>6179195330</v>
      </c>
      <c r="I47" t="str">
        <f>"ENGLISH"</f>
        <v>ENGLISH</v>
      </c>
    </row>
    <row r="48" spans="1:9" x14ac:dyDescent="0.3">
      <c r="A48" t="str">
        <f>"BRASS CITY PHARMACY, INC."</f>
        <v>BRASS CITY PHARMACY, INC.</v>
      </c>
      <c r="B48" t="str">
        <f t="shared" si="0"/>
        <v>Pharmacy</v>
      </c>
      <c r="C48" t="str">
        <f>"309 E MAIN ST"</f>
        <v>309 E MAIN ST</v>
      </c>
      <c r="D48" t="str">
        <f>"UNIT FRONT"</f>
        <v>UNIT FRONT</v>
      </c>
      <c r="E48" t="str">
        <f>"WATERBURY"</f>
        <v>WATERBURY</v>
      </c>
      <c r="F48" t="str">
        <f t="shared" ref="F48:F59" si="4">"CT"</f>
        <v>CT</v>
      </c>
      <c r="G48" t="str">
        <f>"06702"</f>
        <v>06702</v>
      </c>
      <c r="H48" t="str">
        <f>"2037595000"</f>
        <v>2037595000</v>
      </c>
      <c r="I48" t="str">
        <f>"ENGLISH;SPANISH"</f>
        <v>ENGLISH;SPANISH</v>
      </c>
    </row>
    <row r="49" spans="1:9" x14ac:dyDescent="0.3">
      <c r="A49" t="str">
        <f>"BRASS MILL PHARMACY LLC"</f>
        <v>BRASS MILL PHARMACY LLC</v>
      </c>
      <c r="B49" t="str">
        <f t="shared" si="0"/>
        <v>Pharmacy</v>
      </c>
      <c r="C49" t="str">
        <f>"1527 EAST MAIN ST"</f>
        <v>1527 EAST MAIN ST</v>
      </c>
      <c r="D49" t="str">
        <f>""</f>
        <v/>
      </c>
      <c r="E49" t="str">
        <f>"WATERBURY"</f>
        <v>WATERBURY</v>
      </c>
      <c r="F49" t="str">
        <f t="shared" si="4"/>
        <v>CT</v>
      </c>
      <c r="G49" t="str">
        <f>"06705"</f>
        <v>06705</v>
      </c>
      <c r="H49" t="str">
        <f>"2037218022"</f>
        <v>2037218022</v>
      </c>
      <c r="I49" t="str">
        <f>"ENGLISH;HINDI;SPANISH"</f>
        <v>ENGLISH;HINDI;SPANISH</v>
      </c>
    </row>
    <row r="50" spans="1:9" x14ac:dyDescent="0.3">
      <c r="A50" t="str">
        <f>"BRIDGEPORT CHEMISTS INC"</f>
        <v>BRIDGEPORT CHEMISTS INC</v>
      </c>
      <c r="B50" t="str">
        <f t="shared" si="0"/>
        <v>Pharmacy</v>
      </c>
      <c r="C50" t="str">
        <f>"1407 FAIRFIELD AVE"</f>
        <v>1407 FAIRFIELD AVE</v>
      </c>
      <c r="D50" t="str">
        <f>""</f>
        <v/>
      </c>
      <c r="E50" t="str">
        <f>"BRIDGEPORT"</f>
        <v>BRIDGEPORT</v>
      </c>
      <c r="F50" t="str">
        <f t="shared" si="4"/>
        <v>CT</v>
      </c>
      <c r="G50" t="str">
        <f>"06605"</f>
        <v>06605</v>
      </c>
      <c r="H50" t="str">
        <f>"2033674571"</f>
        <v>2033674571</v>
      </c>
      <c r="I50" t="str">
        <f>"ENGLISH;SPANISH"</f>
        <v>ENGLISH;SPANISH</v>
      </c>
    </row>
    <row r="51" spans="1:9" x14ac:dyDescent="0.3">
      <c r="A51" t="str">
        <f>"BRIDGEPORT COMMUNITY PHARMACY, LLC"</f>
        <v>BRIDGEPORT COMMUNITY PHARMACY, LLC</v>
      </c>
      <c r="B51" t="str">
        <f t="shared" si="0"/>
        <v>Pharmacy</v>
      </c>
      <c r="C51" t="str">
        <f>"850 STATE ST"</f>
        <v>850 STATE ST</v>
      </c>
      <c r="D51" t="str">
        <f>""</f>
        <v/>
      </c>
      <c r="E51" t="str">
        <f>"BRIDGEPORT"</f>
        <v>BRIDGEPORT</v>
      </c>
      <c r="F51" t="str">
        <f t="shared" si="4"/>
        <v>CT</v>
      </c>
      <c r="G51" t="str">
        <f>"06604"</f>
        <v>06604</v>
      </c>
      <c r="H51" t="str">
        <f>"2033309191"</f>
        <v>2033309191</v>
      </c>
      <c r="I51" t="str">
        <f>"ENGLISH;SPANISH"</f>
        <v>ENGLISH;SPANISH</v>
      </c>
    </row>
    <row r="52" spans="1:9" x14ac:dyDescent="0.3">
      <c r="A52" t="str">
        <f>"BRIDGEPORT PHARMACY"</f>
        <v>BRIDGEPORT PHARMACY</v>
      </c>
      <c r="B52" t="str">
        <f t="shared" si="0"/>
        <v>Pharmacy</v>
      </c>
      <c r="C52" t="str">
        <f>"978 EAST MAIN STREET"</f>
        <v>978 EAST MAIN STREET</v>
      </c>
      <c r="D52" t="str">
        <f>""</f>
        <v/>
      </c>
      <c r="E52" t="str">
        <f>"BRIDGEPORT"</f>
        <v>BRIDGEPORT</v>
      </c>
      <c r="F52" t="str">
        <f t="shared" si="4"/>
        <v>CT</v>
      </c>
      <c r="G52" t="str">
        <f>"06608"</f>
        <v>06608</v>
      </c>
      <c r="H52" t="str">
        <f>"2033679000"</f>
        <v>2033679000</v>
      </c>
      <c r="I52" t="str">
        <f>"ENGLISH;HINDI;PORTUGUESE;SPANISH"</f>
        <v>ENGLISH;HINDI;PORTUGUESE;SPANISH</v>
      </c>
    </row>
    <row r="53" spans="1:9" x14ac:dyDescent="0.3">
      <c r="A53" t="str">
        <f>"BRISTOL HEALTH PHARMACY LLC"</f>
        <v>BRISTOL HEALTH PHARMACY LLC</v>
      </c>
      <c r="B53" t="str">
        <f t="shared" si="0"/>
        <v>Pharmacy</v>
      </c>
      <c r="C53" t="str">
        <f>"41 BREWSTER ROAD"</f>
        <v>41 BREWSTER ROAD</v>
      </c>
      <c r="D53" t="str">
        <f>""</f>
        <v/>
      </c>
      <c r="E53" t="str">
        <f>"BRISTOL"</f>
        <v>BRISTOL</v>
      </c>
      <c r="F53" t="str">
        <f t="shared" si="4"/>
        <v>CT</v>
      </c>
      <c r="G53" t="str">
        <f>"06010"</f>
        <v>06010</v>
      </c>
      <c r="H53" t="str">
        <f>"8605060675"</f>
        <v>8605060675</v>
      </c>
      <c r="I53" t="str">
        <f>"ENGLISH"</f>
        <v>ENGLISH</v>
      </c>
    </row>
    <row r="54" spans="1:9" x14ac:dyDescent="0.3">
      <c r="A54" t="str">
        <f>"BRISTOL PHARMACY LLC"</f>
        <v>BRISTOL PHARMACY LLC</v>
      </c>
      <c r="B54" t="str">
        <f t="shared" si="0"/>
        <v>Pharmacy</v>
      </c>
      <c r="C54" t="str">
        <f>"194 MAIN STREET"</f>
        <v>194 MAIN STREET</v>
      </c>
      <c r="D54" t="str">
        <f>""</f>
        <v/>
      </c>
      <c r="E54" t="str">
        <f>"BRISTOL"</f>
        <v>BRISTOL</v>
      </c>
      <c r="F54" t="str">
        <f t="shared" si="4"/>
        <v>CT</v>
      </c>
      <c r="G54" t="str">
        <f>"06010"</f>
        <v>06010</v>
      </c>
      <c r="H54" t="str">
        <f>"8608455492"</f>
        <v>8608455492</v>
      </c>
      <c r="I54" t="str">
        <f>"ENGLISH"</f>
        <v>ENGLISH</v>
      </c>
    </row>
    <row r="55" spans="1:9" x14ac:dyDescent="0.3">
      <c r="A55" t="str">
        <f>"BUNKER HILL PHARMACY"</f>
        <v>BUNKER HILL PHARMACY</v>
      </c>
      <c r="B55" t="str">
        <f t="shared" si="0"/>
        <v>Pharmacy</v>
      </c>
      <c r="C55" t="str">
        <f>"256 BUNKER HILL AVE"</f>
        <v>256 BUNKER HILL AVE</v>
      </c>
      <c r="D55" t="str">
        <f>""</f>
        <v/>
      </c>
      <c r="E55" t="str">
        <f>"WATERBURY"</f>
        <v>WATERBURY</v>
      </c>
      <c r="F55" t="str">
        <f t="shared" si="4"/>
        <v>CT</v>
      </c>
      <c r="G55" t="str">
        <f>"06708"</f>
        <v>06708</v>
      </c>
      <c r="H55" t="str">
        <f>"2035747825"</f>
        <v>2035747825</v>
      </c>
      <c r="I55" t="str">
        <f>"ENGLISH;SPANISH"</f>
        <v>ENGLISH;SPANISH</v>
      </c>
    </row>
    <row r="56" spans="1:9" x14ac:dyDescent="0.3">
      <c r="A56" t="str">
        <f>"C&amp;D PHARMACY SERVICES, INC"</f>
        <v>C&amp;D PHARMACY SERVICES, INC</v>
      </c>
      <c r="B56" t="str">
        <f t="shared" si="0"/>
        <v>Pharmacy</v>
      </c>
      <c r="C56" t="str">
        <f>"134 STILLWATER AVENUE"</f>
        <v>134 STILLWATER AVENUE</v>
      </c>
      <c r="D56" t="str">
        <f>""</f>
        <v/>
      </c>
      <c r="E56" t="str">
        <f>"STAMFORD"</f>
        <v>STAMFORD</v>
      </c>
      <c r="F56" t="str">
        <f t="shared" si="4"/>
        <v>CT</v>
      </c>
      <c r="G56" t="str">
        <f>"06902"</f>
        <v>06902</v>
      </c>
      <c r="H56" t="str">
        <f>"2033240251"</f>
        <v>2033240251</v>
      </c>
      <c r="I56" t="str">
        <f>"ENGLISH;ITALIAN;RUSSIAN;SPANISH;URDU"</f>
        <v>ENGLISH;ITALIAN;RUSSIAN;SPANISH;URDU</v>
      </c>
    </row>
    <row r="57" spans="1:9" x14ac:dyDescent="0.3">
      <c r="A57" t="str">
        <f>"CANDLEWOOD DRUGS"</f>
        <v>CANDLEWOOD DRUGS</v>
      </c>
      <c r="B57" t="str">
        <f t="shared" si="0"/>
        <v>Pharmacy</v>
      </c>
      <c r="C57" t="str">
        <f>"11 STATE ROUTE 37"</f>
        <v>11 STATE ROUTE 37</v>
      </c>
      <c r="D57" t="str">
        <f>""</f>
        <v/>
      </c>
      <c r="E57" t="str">
        <f>"NEW FAIRFIELD"</f>
        <v>NEW FAIRFIELD</v>
      </c>
      <c r="F57" t="str">
        <f t="shared" si="4"/>
        <v>CT</v>
      </c>
      <c r="G57" t="str">
        <f>"06812"</f>
        <v>06812</v>
      </c>
      <c r="H57" t="str">
        <f>"2033129999"</f>
        <v>2033129999</v>
      </c>
      <c r="I57" t="str">
        <f>"ENGLISH"</f>
        <v>ENGLISH</v>
      </c>
    </row>
    <row r="58" spans="1:9" x14ac:dyDescent="0.3">
      <c r="A58" t="str">
        <f>"CANFIELD CORNER PHARMACY"</f>
        <v>CANFIELD CORNER PHARMACY</v>
      </c>
      <c r="B58" t="str">
        <f t="shared" si="0"/>
        <v>Pharmacy</v>
      </c>
      <c r="C58" t="str">
        <f>"2 MAIN ST N"</f>
        <v>2 MAIN ST N</v>
      </c>
      <c r="D58" t="str">
        <f>""</f>
        <v/>
      </c>
      <c r="E58" t="str">
        <f>"WOODBURY"</f>
        <v>WOODBURY</v>
      </c>
      <c r="F58" t="str">
        <f t="shared" si="4"/>
        <v>CT</v>
      </c>
      <c r="G58" t="str">
        <f>"06798"</f>
        <v>06798</v>
      </c>
      <c r="H58" t="str">
        <f>"2032632595"</f>
        <v>2032632595</v>
      </c>
      <c r="I58" t="str">
        <f>"ENGLISH"</f>
        <v>ENGLISH</v>
      </c>
    </row>
    <row r="59" spans="1:9" x14ac:dyDescent="0.3">
      <c r="A59" t="str">
        <f>"CARE PLUS RX SOLUTIONS LLC"</f>
        <v>CARE PLUS RX SOLUTIONS LLC</v>
      </c>
      <c r="B59" t="str">
        <f t="shared" si="0"/>
        <v>Pharmacy</v>
      </c>
      <c r="C59" t="str">
        <f>"250 INDIAN RIVER RD"</f>
        <v>250 INDIAN RIVER RD</v>
      </c>
      <c r="D59" t="str">
        <f>"STE 202"</f>
        <v>STE 202</v>
      </c>
      <c r="E59" t="str">
        <f>"ORANGE"</f>
        <v>ORANGE</v>
      </c>
      <c r="F59" t="str">
        <f t="shared" si="4"/>
        <v>CT</v>
      </c>
      <c r="G59" t="str">
        <f>"06477"</f>
        <v>06477</v>
      </c>
      <c r="H59" t="str">
        <f>"2039028800"</f>
        <v>2039028800</v>
      </c>
      <c r="I59" t="str">
        <f>"ENGLISH"</f>
        <v>ENGLISH</v>
      </c>
    </row>
    <row r="60" spans="1:9" x14ac:dyDescent="0.3">
      <c r="A60" t="str">
        <f>"CAREMARK MASSACHUSETTS SPECIALTY PHARMACY"</f>
        <v>CAREMARK MASSACHUSETTS SPECIALTY PHARMACY</v>
      </c>
      <c r="B60" t="str">
        <f t="shared" si="0"/>
        <v>Pharmacy</v>
      </c>
      <c r="C60" t="str">
        <f>"25 BIRCH STREET, BLDG B"</f>
        <v>25 BIRCH STREET, BLDG B</v>
      </c>
      <c r="D60" t="str">
        <f>"SUITE 100"</f>
        <v>SUITE 100</v>
      </c>
      <c r="E60" t="str">
        <f>"MILFORD"</f>
        <v>MILFORD</v>
      </c>
      <c r="F60" t="str">
        <f>"MA"</f>
        <v>MA</v>
      </c>
      <c r="G60" t="str">
        <f>"01757"</f>
        <v>01757</v>
      </c>
      <c r="H60" t="str">
        <f>"5086346800"</f>
        <v>5086346800</v>
      </c>
      <c r="I60" t="str">
        <f>"ENGLISH;INTERPRETER AVAILABLE"</f>
        <v>ENGLISH;INTERPRETER AVAILABLE</v>
      </c>
    </row>
    <row r="61" spans="1:9" x14ac:dyDescent="0.3">
      <c r="A61" t="str">
        <f>"CHAPEL STREET PHARMACY"</f>
        <v>CHAPEL STREET PHARMACY</v>
      </c>
      <c r="B61" t="str">
        <f t="shared" si="0"/>
        <v>Pharmacy</v>
      </c>
      <c r="C61" t="str">
        <f>"1245 CHAPEL STREET"</f>
        <v>1245 CHAPEL STREET</v>
      </c>
      <c r="D61" t="str">
        <f>""</f>
        <v/>
      </c>
      <c r="E61" t="str">
        <f>"NEW HAVEN"</f>
        <v>NEW HAVEN</v>
      </c>
      <c r="F61" t="str">
        <f t="shared" ref="F61:F92" si="5">"CT"</f>
        <v>CT</v>
      </c>
      <c r="G61" t="str">
        <f>"06511"</f>
        <v>06511</v>
      </c>
      <c r="H61" t="str">
        <f>"2037772227"</f>
        <v>2037772227</v>
      </c>
      <c r="I61" t="str">
        <f>"ENGLISH;SPANISH"</f>
        <v>ENGLISH;SPANISH</v>
      </c>
    </row>
    <row r="62" spans="1:9" x14ac:dyDescent="0.3">
      <c r="A62" t="str">
        <f>"CHARTER OAK HEALTH CENTER INC"</f>
        <v>CHARTER OAK HEALTH CENTER INC</v>
      </c>
      <c r="B62" t="str">
        <f t="shared" si="0"/>
        <v>Pharmacy</v>
      </c>
      <c r="C62" t="str">
        <f>"21 GRAND STREET"</f>
        <v>21 GRAND STREET</v>
      </c>
      <c r="D62" t="str">
        <f>""</f>
        <v/>
      </c>
      <c r="E62" t="str">
        <f>"HARTFORD"</f>
        <v>HARTFORD</v>
      </c>
      <c r="F62" t="str">
        <f t="shared" si="5"/>
        <v>CT</v>
      </c>
      <c r="G62" t="str">
        <f>"06106"</f>
        <v>06106</v>
      </c>
      <c r="H62" t="str">
        <f>"8605507550"</f>
        <v>8605507550</v>
      </c>
      <c r="I62" t="str">
        <f>"ENGLISH"</f>
        <v>ENGLISH</v>
      </c>
    </row>
    <row r="63" spans="1:9" x14ac:dyDescent="0.3">
      <c r="A63" t="str">
        <f>"CLINICAL SPECIALTY INFUSION OF DALLAS"</f>
        <v>CLINICAL SPECIALTY INFUSION OF DALLAS</v>
      </c>
      <c r="B63" t="str">
        <f t="shared" si="0"/>
        <v>Pharmacy</v>
      </c>
      <c r="C63" t="str">
        <f>"281 HAZARD AVE"</f>
        <v>281 HAZARD AVE</v>
      </c>
      <c r="D63" t="str">
        <f>""</f>
        <v/>
      </c>
      <c r="E63" t="str">
        <f>"ENFIELD"</f>
        <v>ENFIELD</v>
      </c>
      <c r="F63" t="str">
        <f t="shared" si="5"/>
        <v>CT</v>
      </c>
      <c r="G63" t="str">
        <f>"06082"</f>
        <v>06082</v>
      </c>
      <c r="H63" t="str">
        <f>"8335691005"</f>
        <v>8335691005</v>
      </c>
      <c r="I63" t="str">
        <f>"ENGLISH"</f>
        <v>ENGLISH</v>
      </c>
    </row>
    <row r="64" spans="1:9" x14ac:dyDescent="0.3">
      <c r="A64" t="str">
        <f>"CLINTON MARKETS, LLC"</f>
        <v>CLINTON MARKETS, LLC</v>
      </c>
      <c r="B64" t="str">
        <f t="shared" si="0"/>
        <v>Pharmacy</v>
      </c>
      <c r="C64" t="str">
        <f>"266 EAST MAIN ST"</f>
        <v>266 EAST MAIN ST</v>
      </c>
      <c r="D64" t="str">
        <f>""</f>
        <v/>
      </c>
      <c r="E64" t="str">
        <f>"CLINTON"</f>
        <v>CLINTON</v>
      </c>
      <c r="F64" t="str">
        <f t="shared" si="5"/>
        <v>CT</v>
      </c>
      <c r="G64" t="str">
        <f>"06413"</f>
        <v>06413</v>
      </c>
      <c r="H64" t="str">
        <f>"8606696619"</f>
        <v>8606696619</v>
      </c>
      <c r="I64" t="str">
        <f>"ENGLISH"</f>
        <v>ENGLISH</v>
      </c>
    </row>
    <row r="65" spans="1:9" x14ac:dyDescent="0.3">
      <c r="A65" t="str">
        <f>"CLRX PHARMACY ORANGE"</f>
        <v>CLRX PHARMACY ORANGE</v>
      </c>
      <c r="B65" t="str">
        <f t="shared" si="0"/>
        <v>Pharmacy</v>
      </c>
      <c r="C65" t="str">
        <f>"109 BOSTON POST RD. STE 9A"</f>
        <v>109 BOSTON POST RD. STE 9A</v>
      </c>
      <c r="D65" t="str">
        <f>""</f>
        <v/>
      </c>
      <c r="E65" t="str">
        <f>"ORANGE"</f>
        <v>ORANGE</v>
      </c>
      <c r="F65" t="str">
        <f t="shared" si="5"/>
        <v>CT</v>
      </c>
      <c r="G65" t="str">
        <f>"06477"</f>
        <v>06477</v>
      </c>
      <c r="H65" t="str">
        <f>"2035539830"</f>
        <v>2035539830</v>
      </c>
      <c r="I65" t="str">
        <f>"ENGLISH"</f>
        <v>ENGLISH</v>
      </c>
    </row>
    <row r="66" spans="1:9" x14ac:dyDescent="0.3">
      <c r="A66" t="str">
        <f>"COLONIAL DRUGGISTS    INC"</f>
        <v>COLONIAL DRUGGISTS    INC</v>
      </c>
      <c r="B66" t="str">
        <f t="shared" ref="B66:B129" si="6">"Pharmacy"</f>
        <v>Pharmacy</v>
      </c>
      <c r="C66" t="str">
        <f>"611 POST ROAD EAST"</f>
        <v>611 POST ROAD EAST</v>
      </c>
      <c r="D66" t="str">
        <f>""</f>
        <v/>
      </c>
      <c r="E66" t="str">
        <f>"WESTPORT"</f>
        <v>WESTPORT</v>
      </c>
      <c r="F66" t="str">
        <f t="shared" si="5"/>
        <v>CT</v>
      </c>
      <c r="G66" t="str">
        <f>"06880"</f>
        <v>06880</v>
      </c>
      <c r="H66" t="str">
        <f>"2032279538"</f>
        <v>2032279538</v>
      </c>
      <c r="I66" t="str">
        <f>"ENGLISH;PORTUGUESE;SPANISH;TURKISH"</f>
        <v>ENGLISH;PORTUGUESE;SPANISH;TURKISH</v>
      </c>
    </row>
    <row r="67" spans="1:9" x14ac:dyDescent="0.3">
      <c r="A67" t="str">
        <f>"COLUMBUS CHEMISTS LLC D/B/A BERNEYS PHARMACY"</f>
        <v>COLUMBUS CHEMISTS LLC D/B/A BERNEYS PHARMACY</v>
      </c>
      <c r="B67" t="str">
        <f t="shared" si="6"/>
        <v>Pharmacy</v>
      </c>
      <c r="C67" t="str">
        <f>"615 HOWARD AVE"</f>
        <v>615 HOWARD AVE</v>
      </c>
      <c r="D67" t="str">
        <f>""</f>
        <v/>
      </c>
      <c r="E67" t="str">
        <f>"NEW HAVEN"</f>
        <v>NEW HAVEN</v>
      </c>
      <c r="F67" t="str">
        <f t="shared" si="5"/>
        <v>CT</v>
      </c>
      <c r="G67" t="str">
        <f>"06519"</f>
        <v>06519</v>
      </c>
      <c r="H67" t="str">
        <f>"2035624447"</f>
        <v>2035624447</v>
      </c>
      <c r="I67" t="str">
        <f>"ENGLISH;SPANISH"</f>
        <v>ENGLISH;SPANISH</v>
      </c>
    </row>
    <row r="68" spans="1:9" x14ac:dyDescent="0.3">
      <c r="A68" t="str">
        <f>"COMMUNITY CARE PHARMACY, INC."</f>
        <v>COMMUNITY CARE PHARMACY, INC.</v>
      </c>
      <c r="B68" t="str">
        <f t="shared" si="6"/>
        <v>Pharmacy</v>
      </c>
      <c r="C68" t="str">
        <f>"438 NEW BRITAIN AVE"</f>
        <v>438 NEW BRITAIN AVE</v>
      </c>
      <c r="D68" t="str">
        <f>""</f>
        <v/>
      </c>
      <c r="E68" t="str">
        <f>"HARTFORD"</f>
        <v>HARTFORD</v>
      </c>
      <c r="F68" t="str">
        <f t="shared" si="5"/>
        <v>CT</v>
      </c>
      <c r="G68" t="str">
        <f>"06106"</f>
        <v>06106</v>
      </c>
      <c r="H68" t="str">
        <f>"8605602000"</f>
        <v>8605602000</v>
      </c>
      <c r="I68" t="str">
        <f>"ENGLISH;SPANISH"</f>
        <v>ENGLISH;SPANISH</v>
      </c>
    </row>
    <row r="69" spans="1:9" x14ac:dyDescent="0.3">
      <c r="A69" t="str">
        <f>"COMMUNITY HEALTH PHARMACY LLC"</f>
        <v>COMMUNITY HEALTH PHARMACY LLC</v>
      </c>
      <c r="B69" t="str">
        <f t="shared" si="6"/>
        <v>Pharmacy</v>
      </c>
      <c r="C69" t="str">
        <f>"224 DIXWELL AVE"</f>
        <v>224 DIXWELL AVE</v>
      </c>
      <c r="D69" t="str">
        <f>""</f>
        <v/>
      </c>
      <c r="E69" t="str">
        <f>"NEW HAVEN"</f>
        <v>NEW HAVEN</v>
      </c>
      <c r="F69" t="str">
        <f t="shared" si="5"/>
        <v>CT</v>
      </c>
      <c r="G69" t="str">
        <f>"06511"</f>
        <v>06511</v>
      </c>
      <c r="H69" t="str">
        <f>"2034981900"</f>
        <v>2034981900</v>
      </c>
      <c r="I69" t="str">
        <f>"ENGLISH;SPANISH"</f>
        <v>ENGLISH;SPANISH</v>
      </c>
    </row>
    <row r="70" spans="1:9" x14ac:dyDescent="0.3">
      <c r="A70" t="str">
        <f>"COMMUNITY PHARMACY, INC."</f>
        <v>COMMUNITY PHARMACY, INC.</v>
      </c>
      <c r="B70" t="str">
        <f t="shared" si="6"/>
        <v>Pharmacy</v>
      </c>
      <c r="C70" t="str">
        <f>"926 MAIN ST"</f>
        <v>926 MAIN ST</v>
      </c>
      <c r="D70" t="str">
        <f>""</f>
        <v/>
      </c>
      <c r="E70" t="str">
        <f>"EAST HARTFORD"</f>
        <v>EAST HARTFORD</v>
      </c>
      <c r="F70" t="str">
        <f t="shared" si="5"/>
        <v>CT</v>
      </c>
      <c r="G70" t="str">
        <f>"06108"</f>
        <v>06108</v>
      </c>
      <c r="H70" t="str">
        <f>"8602890000"</f>
        <v>8602890000</v>
      </c>
      <c r="I70" t="str">
        <f>"ENGLISH;SPANISH"</f>
        <v>ENGLISH;SPANISH</v>
      </c>
    </row>
    <row r="71" spans="1:9" x14ac:dyDescent="0.3">
      <c r="A71" t="str">
        <f t="shared" ref="A71:A96" si="7">"CONNECTICUT CVS PHARMACY LLC"</f>
        <v>CONNECTICUT CVS PHARMACY LLC</v>
      </c>
      <c r="B71" t="str">
        <f t="shared" si="6"/>
        <v>Pharmacy</v>
      </c>
      <c r="C71" t="str">
        <f>"98 BRIDGE STREET"</f>
        <v>98 BRIDGE STREET</v>
      </c>
      <c r="D71" t="str">
        <f>""</f>
        <v/>
      </c>
      <c r="E71" t="str">
        <f>"NAUGATUCK"</f>
        <v>NAUGATUCK</v>
      </c>
      <c r="F71" t="str">
        <f t="shared" si="5"/>
        <v>CT</v>
      </c>
      <c r="G71" t="str">
        <f>"06770"</f>
        <v>06770</v>
      </c>
      <c r="H71" t="str">
        <f>"2037231172"</f>
        <v>2037231172</v>
      </c>
      <c r="I71" t="str">
        <f t="shared" ref="I71:I111" si="8">"ENGLISH"</f>
        <v>ENGLISH</v>
      </c>
    </row>
    <row r="72" spans="1:9" x14ac:dyDescent="0.3">
      <c r="A72" t="str">
        <f t="shared" si="7"/>
        <v>CONNECTICUT CVS PHARMACY LLC</v>
      </c>
      <c r="B72" t="str">
        <f t="shared" si="6"/>
        <v>Pharmacy</v>
      </c>
      <c r="C72" t="str">
        <f>"330 MAIN STREET"</f>
        <v>330 MAIN STREET</v>
      </c>
      <c r="D72" t="str">
        <f>""</f>
        <v/>
      </c>
      <c r="E72" t="str">
        <f>"FARMINGTON"</f>
        <v>FARMINGTON</v>
      </c>
      <c r="F72" t="str">
        <f t="shared" si="5"/>
        <v>CT</v>
      </c>
      <c r="G72" t="str">
        <f>"06032"</f>
        <v>06032</v>
      </c>
      <c r="H72" t="str">
        <f>"8606775047"</f>
        <v>8606775047</v>
      </c>
      <c r="I72" t="str">
        <f t="shared" si="8"/>
        <v>ENGLISH</v>
      </c>
    </row>
    <row r="73" spans="1:9" x14ac:dyDescent="0.3">
      <c r="A73" t="str">
        <f t="shared" si="7"/>
        <v>CONNECTICUT CVS PHARMACY LLC</v>
      </c>
      <c r="B73" t="str">
        <f t="shared" si="6"/>
        <v>Pharmacy</v>
      </c>
      <c r="C73" t="str">
        <f>"369 MAIN ST"</f>
        <v>369 MAIN ST</v>
      </c>
      <c r="D73" t="str">
        <f>""</f>
        <v/>
      </c>
      <c r="E73" t="str">
        <f>"EAST HAVEN"</f>
        <v>EAST HAVEN</v>
      </c>
      <c r="F73" t="str">
        <f t="shared" si="5"/>
        <v>CT</v>
      </c>
      <c r="G73" t="str">
        <f>"06512"</f>
        <v>06512</v>
      </c>
      <c r="H73" t="str">
        <f>"2034686594"</f>
        <v>2034686594</v>
      </c>
      <c r="I73" t="str">
        <f t="shared" si="8"/>
        <v>ENGLISH</v>
      </c>
    </row>
    <row r="74" spans="1:9" x14ac:dyDescent="0.3">
      <c r="A74" t="str">
        <f t="shared" si="7"/>
        <v>CONNECTICUT CVS PHARMACY LLC</v>
      </c>
      <c r="B74" t="str">
        <f t="shared" si="6"/>
        <v>Pharmacy</v>
      </c>
      <c r="C74" t="str">
        <f>"266 WEST STREET, ROUTE 202"</f>
        <v>266 WEST STREET, ROUTE 202</v>
      </c>
      <c r="D74" t="str">
        <f>""</f>
        <v/>
      </c>
      <c r="E74" t="str">
        <f>"LITCHFIELD"</f>
        <v>LITCHFIELD</v>
      </c>
      <c r="F74" t="str">
        <f t="shared" si="5"/>
        <v>CT</v>
      </c>
      <c r="G74" t="str">
        <f>"06759"</f>
        <v>06759</v>
      </c>
      <c r="H74" t="str">
        <f>"8605670856"</f>
        <v>8605670856</v>
      </c>
      <c r="I74" t="str">
        <f t="shared" si="8"/>
        <v>ENGLISH</v>
      </c>
    </row>
    <row r="75" spans="1:9" x14ac:dyDescent="0.3">
      <c r="A75" t="str">
        <f t="shared" si="7"/>
        <v>CONNECTICUT CVS PHARMACY LLC</v>
      </c>
      <c r="B75" t="str">
        <f t="shared" si="6"/>
        <v>Pharmacy</v>
      </c>
      <c r="C75" t="str">
        <f>"26 WATERBURY RD"</f>
        <v>26 WATERBURY RD</v>
      </c>
      <c r="D75" t="str">
        <f>""</f>
        <v/>
      </c>
      <c r="E75" t="str">
        <f>"PROSPECT"</f>
        <v>PROSPECT</v>
      </c>
      <c r="F75" t="str">
        <f t="shared" si="5"/>
        <v>CT</v>
      </c>
      <c r="G75" t="str">
        <f>"06712"</f>
        <v>06712</v>
      </c>
      <c r="H75" t="str">
        <f>"2037583316"</f>
        <v>2037583316</v>
      </c>
      <c r="I75" t="str">
        <f t="shared" si="8"/>
        <v>ENGLISH</v>
      </c>
    </row>
    <row r="76" spans="1:9" x14ac:dyDescent="0.3">
      <c r="A76" t="str">
        <f t="shared" si="7"/>
        <v>CONNECTICUT CVS PHARMACY LLC</v>
      </c>
      <c r="B76" t="str">
        <f t="shared" si="6"/>
        <v>Pharmacy</v>
      </c>
      <c r="C76" t="str">
        <f>"106 BOSTON POST RD"</f>
        <v>106 BOSTON POST RD</v>
      </c>
      <c r="D76" t="str">
        <f>""</f>
        <v/>
      </c>
      <c r="E76" t="str">
        <f>"WATERFORD"</f>
        <v>WATERFORD</v>
      </c>
      <c r="F76" t="str">
        <f t="shared" si="5"/>
        <v>CT</v>
      </c>
      <c r="G76" t="str">
        <f>"06385"</f>
        <v>06385</v>
      </c>
      <c r="H76" t="str">
        <f>"8604431244"</f>
        <v>8604431244</v>
      </c>
      <c r="I76" t="str">
        <f t="shared" si="8"/>
        <v>ENGLISH</v>
      </c>
    </row>
    <row r="77" spans="1:9" x14ac:dyDescent="0.3">
      <c r="A77" t="str">
        <f t="shared" si="7"/>
        <v>CONNECTICUT CVS PHARMACY LLC</v>
      </c>
      <c r="B77" t="str">
        <f t="shared" si="6"/>
        <v>Pharmacy</v>
      </c>
      <c r="C77" t="str">
        <f>"47 LAKE AVENUE EXTENSION"</f>
        <v>47 LAKE AVENUE EXTENSION</v>
      </c>
      <c r="D77" t="str">
        <f>""</f>
        <v/>
      </c>
      <c r="E77" t="str">
        <f>"DANBURY"</f>
        <v>DANBURY</v>
      </c>
      <c r="F77" t="str">
        <f t="shared" si="5"/>
        <v>CT</v>
      </c>
      <c r="G77" t="str">
        <f>"06811"</f>
        <v>06811</v>
      </c>
      <c r="H77" t="str">
        <f>"2037787471"</f>
        <v>2037787471</v>
      </c>
      <c r="I77" t="str">
        <f t="shared" si="8"/>
        <v>ENGLISH</v>
      </c>
    </row>
    <row r="78" spans="1:9" x14ac:dyDescent="0.3">
      <c r="A78" t="str">
        <f t="shared" si="7"/>
        <v>CONNECTICUT CVS PHARMACY LLC</v>
      </c>
      <c r="B78" t="str">
        <f t="shared" si="6"/>
        <v>Pharmacy</v>
      </c>
      <c r="C78" t="str">
        <f>"47 MAIN STREET"</f>
        <v>47 MAIN STREET</v>
      </c>
      <c r="D78" t="str">
        <f>""</f>
        <v/>
      </c>
      <c r="E78" t="str">
        <f>"WINSTED"</f>
        <v>WINSTED</v>
      </c>
      <c r="F78" t="str">
        <f t="shared" si="5"/>
        <v>CT</v>
      </c>
      <c r="G78" t="str">
        <f>"06098"</f>
        <v>06098</v>
      </c>
      <c r="H78" t="str">
        <f>"8607386250"</f>
        <v>8607386250</v>
      </c>
      <c r="I78" t="str">
        <f t="shared" si="8"/>
        <v>ENGLISH</v>
      </c>
    </row>
    <row r="79" spans="1:9" x14ac:dyDescent="0.3">
      <c r="A79" t="str">
        <f t="shared" si="7"/>
        <v>CONNECTICUT CVS PHARMACY LLC</v>
      </c>
      <c r="B79" t="str">
        <f t="shared" si="6"/>
        <v>Pharmacy</v>
      </c>
      <c r="C79" t="str">
        <f>"961 BLACK ROCK TPKE"</f>
        <v>961 BLACK ROCK TPKE</v>
      </c>
      <c r="D79" t="str">
        <f>""</f>
        <v/>
      </c>
      <c r="E79" t="str">
        <f>"FAIRFIELD"</f>
        <v>FAIRFIELD</v>
      </c>
      <c r="F79" t="str">
        <f t="shared" si="5"/>
        <v>CT</v>
      </c>
      <c r="G79" t="str">
        <f>"06825"</f>
        <v>06825</v>
      </c>
      <c r="H79" t="str">
        <f>"2033314731"</f>
        <v>2033314731</v>
      </c>
      <c r="I79" t="str">
        <f t="shared" si="8"/>
        <v>ENGLISH</v>
      </c>
    </row>
    <row r="80" spans="1:9" x14ac:dyDescent="0.3">
      <c r="A80" t="str">
        <f t="shared" si="7"/>
        <v>CONNECTICUT CVS PHARMACY LLC</v>
      </c>
      <c r="B80" t="str">
        <f t="shared" si="6"/>
        <v>Pharmacy</v>
      </c>
      <c r="C80" t="str">
        <f>"1058 HOPE STREET"</f>
        <v>1058 HOPE STREET</v>
      </c>
      <c r="D80" t="str">
        <f>""</f>
        <v/>
      </c>
      <c r="E80" t="str">
        <f>"STAMFORD"</f>
        <v>STAMFORD</v>
      </c>
      <c r="F80" t="str">
        <f t="shared" si="5"/>
        <v>CT</v>
      </c>
      <c r="G80" t="str">
        <f>"06907"</f>
        <v>06907</v>
      </c>
      <c r="H80" t="str">
        <f>"4017708577"</f>
        <v>4017708577</v>
      </c>
      <c r="I80" t="str">
        <f t="shared" si="8"/>
        <v>ENGLISH</v>
      </c>
    </row>
    <row r="81" spans="1:9" x14ac:dyDescent="0.3">
      <c r="A81" t="str">
        <f t="shared" si="7"/>
        <v>CONNECTICUT CVS PHARMACY LLC</v>
      </c>
      <c r="B81" t="str">
        <f t="shared" si="6"/>
        <v>Pharmacy</v>
      </c>
      <c r="C81" t="str">
        <f>"142 TALCOTTVILLE ROAD"</f>
        <v>142 TALCOTTVILLE ROAD</v>
      </c>
      <c r="D81" t="str">
        <f>""</f>
        <v/>
      </c>
      <c r="E81" t="str">
        <f>"VERNON"</f>
        <v>VERNON</v>
      </c>
      <c r="F81" t="str">
        <f t="shared" si="5"/>
        <v>CT</v>
      </c>
      <c r="G81" t="str">
        <f>"06066"</f>
        <v>06066</v>
      </c>
      <c r="H81" t="str">
        <f>"8608711661"</f>
        <v>8608711661</v>
      </c>
      <c r="I81" t="str">
        <f t="shared" si="8"/>
        <v>ENGLISH</v>
      </c>
    </row>
    <row r="82" spans="1:9" x14ac:dyDescent="0.3">
      <c r="A82" t="str">
        <f t="shared" si="7"/>
        <v>CONNECTICUT CVS PHARMACY LLC</v>
      </c>
      <c r="B82" t="str">
        <f t="shared" si="6"/>
        <v>Pharmacy</v>
      </c>
      <c r="C82" t="str">
        <f>"1078 SILAS DEANE HWY"</f>
        <v>1078 SILAS DEANE HWY</v>
      </c>
      <c r="D82" t="str">
        <f>""</f>
        <v/>
      </c>
      <c r="E82" t="str">
        <f>"WETHERSFIELD"</f>
        <v>WETHERSFIELD</v>
      </c>
      <c r="F82" t="str">
        <f t="shared" si="5"/>
        <v>CT</v>
      </c>
      <c r="G82" t="str">
        <f>"06109"</f>
        <v>06109</v>
      </c>
      <c r="H82" t="str">
        <f>"8605292535"</f>
        <v>8605292535</v>
      </c>
      <c r="I82" t="str">
        <f t="shared" si="8"/>
        <v>ENGLISH</v>
      </c>
    </row>
    <row r="83" spans="1:9" x14ac:dyDescent="0.3">
      <c r="A83" t="str">
        <f t="shared" si="7"/>
        <v>CONNECTICUT CVS PHARMACY LLC</v>
      </c>
      <c r="B83" t="str">
        <f t="shared" si="6"/>
        <v>Pharmacy</v>
      </c>
      <c r="C83" t="str">
        <f>"915 POQUONNOCK ROAD"</f>
        <v>915 POQUONNOCK ROAD</v>
      </c>
      <c r="D83" t="str">
        <f>""</f>
        <v/>
      </c>
      <c r="E83" t="str">
        <f>"GROTON"</f>
        <v>GROTON</v>
      </c>
      <c r="F83" t="str">
        <f t="shared" si="5"/>
        <v>CT</v>
      </c>
      <c r="G83" t="str">
        <f>"06340"</f>
        <v>06340</v>
      </c>
      <c r="H83" t="str">
        <f>"8604460912"</f>
        <v>8604460912</v>
      </c>
      <c r="I83" t="str">
        <f t="shared" si="8"/>
        <v>ENGLISH</v>
      </c>
    </row>
    <row r="84" spans="1:9" x14ac:dyDescent="0.3">
      <c r="A84" t="str">
        <f t="shared" si="7"/>
        <v>CONNECTICUT CVS PHARMACY LLC</v>
      </c>
      <c r="B84" t="str">
        <f t="shared" si="6"/>
        <v>Pharmacy</v>
      </c>
      <c r="C84" t="str">
        <f>"40 EAST ST"</f>
        <v>40 EAST ST</v>
      </c>
      <c r="D84" t="str">
        <f>""</f>
        <v/>
      </c>
      <c r="E84" t="str">
        <f>"NEW MILFORD"</f>
        <v>NEW MILFORD</v>
      </c>
      <c r="F84" t="str">
        <f t="shared" si="5"/>
        <v>CT</v>
      </c>
      <c r="G84" t="str">
        <f>"06776"</f>
        <v>06776</v>
      </c>
      <c r="H84" t="str">
        <f>"8603544455"</f>
        <v>8603544455</v>
      </c>
      <c r="I84" t="str">
        <f t="shared" si="8"/>
        <v>ENGLISH</v>
      </c>
    </row>
    <row r="85" spans="1:9" x14ac:dyDescent="0.3">
      <c r="A85" t="str">
        <f t="shared" si="7"/>
        <v>CONNECTICUT CVS PHARMACY LLC</v>
      </c>
      <c r="B85" t="str">
        <f t="shared" si="6"/>
        <v>Pharmacy</v>
      </c>
      <c r="C85" t="str">
        <f>"660 FOXON ROAD"</f>
        <v>660 FOXON ROAD</v>
      </c>
      <c r="D85" t="str">
        <f>""</f>
        <v/>
      </c>
      <c r="E85" t="str">
        <f>"EAST HAVEN"</f>
        <v>EAST HAVEN</v>
      </c>
      <c r="F85" t="str">
        <f t="shared" si="5"/>
        <v>CT</v>
      </c>
      <c r="G85" t="str">
        <f>"06513"</f>
        <v>06513</v>
      </c>
      <c r="H85" t="str">
        <f>"2034678876"</f>
        <v>2034678876</v>
      </c>
      <c r="I85" t="str">
        <f t="shared" si="8"/>
        <v>ENGLISH</v>
      </c>
    </row>
    <row r="86" spans="1:9" x14ac:dyDescent="0.3">
      <c r="A86" t="str">
        <f t="shared" si="7"/>
        <v>CONNECTICUT CVS PHARMACY LLC</v>
      </c>
      <c r="B86" t="str">
        <f t="shared" si="6"/>
        <v>Pharmacy</v>
      </c>
      <c r="C86" t="str">
        <f>"839 E MAIN ST"</f>
        <v>839 E MAIN ST</v>
      </c>
      <c r="D86" t="str">
        <f>""</f>
        <v/>
      </c>
      <c r="E86" t="str">
        <f>"MERIDEN"</f>
        <v>MERIDEN</v>
      </c>
      <c r="F86" t="str">
        <f t="shared" si="5"/>
        <v>CT</v>
      </c>
      <c r="G86" t="str">
        <f>"06450"</f>
        <v>06450</v>
      </c>
      <c r="H86" t="str">
        <f>"2036341163"</f>
        <v>2036341163</v>
      </c>
      <c r="I86" t="str">
        <f t="shared" si="8"/>
        <v>ENGLISH</v>
      </c>
    </row>
    <row r="87" spans="1:9" x14ac:dyDescent="0.3">
      <c r="A87" t="str">
        <f t="shared" si="7"/>
        <v>CONNECTICUT CVS PHARMACY LLC</v>
      </c>
      <c r="B87" t="str">
        <f t="shared" si="6"/>
        <v>Pharmacy</v>
      </c>
      <c r="C87" t="str">
        <f>"964 POST ROAD"</f>
        <v>964 POST ROAD</v>
      </c>
      <c r="D87" t="str">
        <f>""</f>
        <v/>
      </c>
      <c r="E87" t="str">
        <f>"DARIEN"</f>
        <v>DARIEN</v>
      </c>
      <c r="F87" t="str">
        <f t="shared" si="5"/>
        <v>CT</v>
      </c>
      <c r="G87" t="str">
        <f>"06820"</f>
        <v>06820</v>
      </c>
      <c r="H87" t="str">
        <f>"2036556335"</f>
        <v>2036556335</v>
      </c>
      <c r="I87" t="str">
        <f t="shared" si="8"/>
        <v>ENGLISH</v>
      </c>
    </row>
    <row r="88" spans="1:9" x14ac:dyDescent="0.3">
      <c r="A88" t="str">
        <f t="shared" si="7"/>
        <v>CONNECTICUT CVS PHARMACY LLC</v>
      </c>
      <c r="B88" t="str">
        <f t="shared" si="6"/>
        <v>Pharmacy</v>
      </c>
      <c r="C88" t="str">
        <f>"542 PROVIDENCE RD"</f>
        <v>542 PROVIDENCE RD</v>
      </c>
      <c r="D88" t="str">
        <f>""</f>
        <v/>
      </c>
      <c r="E88" t="str">
        <f>"BROOKLYN"</f>
        <v>BROOKLYN</v>
      </c>
      <c r="F88" t="str">
        <f t="shared" si="5"/>
        <v>CT</v>
      </c>
      <c r="G88" t="str">
        <f>"06234"</f>
        <v>06234</v>
      </c>
      <c r="H88" t="str">
        <f>"8607790523"</f>
        <v>8607790523</v>
      </c>
      <c r="I88" t="str">
        <f t="shared" si="8"/>
        <v>ENGLISH</v>
      </c>
    </row>
    <row r="89" spans="1:9" x14ac:dyDescent="0.3">
      <c r="A89" t="str">
        <f t="shared" si="7"/>
        <v>CONNECTICUT CVS PHARMACY LLC</v>
      </c>
      <c r="B89" t="str">
        <f t="shared" si="6"/>
        <v>Pharmacy</v>
      </c>
      <c r="C89" t="str">
        <f>"525 BUCKLAND ROAD"</f>
        <v>525 BUCKLAND ROAD</v>
      </c>
      <c r="D89" t="str">
        <f>""</f>
        <v/>
      </c>
      <c r="E89" t="str">
        <f>"SOUTH WINDSOR"</f>
        <v>SOUTH WINDSOR</v>
      </c>
      <c r="F89" t="str">
        <f t="shared" si="5"/>
        <v>CT</v>
      </c>
      <c r="G89" t="str">
        <f>"06074"</f>
        <v>06074</v>
      </c>
      <c r="H89" t="str">
        <f>"8606444241"</f>
        <v>8606444241</v>
      </c>
      <c r="I89" t="str">
        <f t="shared" si="8"/>
        <v>ENGLISH</v>
      </c>
    </row>
    <row r="90" spans="1:9" x14ac:dyDescent="0.3">
      <c r="A90" t="str">
        <f t="shared" si="7"/>
        <v>CONNECTICUT CVS PHARMACY LLC</v>
      </c>
      <c r="B90" t="str">
        <f t="shared" si="6"/>
        <v>Pharmacy</v>
      </c>
      <c r="C90" t="str">
        <f>"593 NEWFIELD AVE"</f>
        <v>593 NEWFIELD AVE</v>
      </c>
      <c r="D90" t="str">
        <f>""</f>
        <v/>
      </c>
      <c r="E90" t="str">
        <f>"STAMFORD"</f>
        <v>STAMFORD</v>
      </c>
      <c r="F90" t="str">
        <f t="shared" si="5"/>
        <v>CT</v>
      </c>
      <c r="G90" t="str">
        <f>"06905"</f>
        <v>06905</v>
      </c>
      <c r="H90" t="str">
        <f>"2039674600"</f>
        <v>2039674600</v>
      </c>
      <c r="I90" t="str">
        <f t="shared" si="8"/>
        <v>ENGLISH</v>
      </c>
    </row>
    <row r="91" spans="1:9" x14ac:dyDescent="0.3">
      <c r="A91" t="str">
        <f t="shared" si="7"/>
        <v>CONNECTICUT CVS PHARMACY LLC</v>
      </c>
      <c r="B91" t="str">
        <f t="shared" si="6"/>
        <v>Pharmacy</v>
      </c>
      <c r="C91" t="str">
        <f>"326 MAIN STREET"</f>
        <v>326 MAIN STREET</v>
      </c>
      <c r="D91" t="str">
        <f>""</f>
        <v/>
      </c>
      <c r="E91" t="str">
        <f>"SOUTHINGTON"</f>
        <v>SOUTHINGTON</v>
      </c>
      <c r="F91" t="str">
        <f t="shared" si="5"/>
        <v>CT</v>
      </c>
      <c r="G91" t="str">
        <f>"06489"</f>
        <v>06489</v>
      </c>
      <c r="H91" t="str">
        <f>"8606211996"</f>
        <v>8606211996</v>
      </c>
      <c r="I91" t="str">
        <f t="shared" si="8"/>
        <v>ENGLISH</v>
      </c>
    </row>
    <row r="92" spans="1:9" x14ac:dyDescent="0.3">
      <c r="A92" t="str">
        <f t="shared" si="7"/>
        <v>CONNECTICUT CVS PHARMACY LLC</v>
      </c>
      <c r="B92" t="str">
        <f t="shared" si="6"/>
        <v>Pharmacy</v>
      </c>
      <c r="C92" t="str">
        <f>"90 MAIN STREET"</f>
        <v>90 MAIN STREET</v>
      </c>
      <c r="D92" t="str">
        <f>""</f>
        <v/>
      </c>
      <c r="E92" t="str">
        <f>"WINDSOR LOCKS"</f>
        <v>WINDSOR LOCKS</v>
      </c>
      <c r="F92" t="str">
        <f t="shared" si="5"/>
        <v>CT</v>
      </c>
      <c r="G92" t="str">
        <f>"06096"</f>
        <v>06096</v>
      </c>
      <c r="H92" t="str">
        <f>"8606232407"</f>
        <v>8606232407</v>
      </c>
      <c r="I92" t="str">
        <f t="shared" si="8"/>
        <v>ENGLISH</v>
      </c>
    </row>
    <row r="93" spans="1:9" x14ac:dyDescent="0.3">
      <c r="A93" t="str">
        <f t="shared" si="7"/>
        <v>CONNECTICUT CVS PHARMACY LLC</v>
      </c>
      <c r="B93" t="str">
        <f t="shared" si="6"/>
        <v>Pharmacy</v>
      </c>
      <c r="C93" t="str">
        <f>"20 BURNSIDE AVENUE"</f>
        <v>20 BURNSIDE AVENUE</v>
      </c>
      <c r="D93" t="str">
        <f>""</f>
        <v/>
      </c>
      <c r="E93" t="str">
        <f>"EAST HARTFORD"</f>
        <v>EAST HARTFORD</v>
      </c>
      <c r="F93" t="str">
        <f t="shared" ref="F93:F124" si="9">"CT"</f>
        <v>CT</v>
      </c>
      <c r="G93" t="str">
        <f>"06108"</f>
        <v>06108</v>
      </c>
      <c r="H93" t="str">
        <f>"8602902091"</f>
        <v>8602902091</v>
      </c>
      <c r="I93" t="str">
        <f t="shared" si="8"/>
        <v>ENGLISH</v>
      </c>
    </row>
    <row r="94" spans="1:9" x14ac:dyDescent="0.3">
      <c r="A94" t="str">
        <f t="shared" si="7"/>
        <v>CONNECTICUT CVS PHARMACY LLC</v>
      </c>
      <c r="B94" t="str">
        <f t="shared" si="6"/>
        <v>Pharmacy</v>
      </c>
      <c r="C94" t="str">
        <f>"341 COTTAGE GROVE RD"</f>
        <v>341 COTTAGE GROVE RD</v>
      </c>
      <c r="D94" t="str">
        <f>""</f>
        <v/>
      </c>
      <c r="E94" t="str">
        <f>"BLOOMFIELD"</f>
        <v>BLOOMFIELD</v>
      </c>
      <c r="F94" t="str">
        <f t="shared" si="9"/>
        <v>CT</v>
      </c>
      <c r="G94" t="str">
        <f>"06002"</f>
        <v>06002</v>
      </c>
      <c r="H94" t="str">
        <f>"8602438351"</f>
        <v>8602438351</v>
      </c>
      <c r="I94" t="str">
        <f t="shared" si="8"/>
        <v>ENGLISH</v>
      </c>
    </row>
    <row r="95" spans="1:9" x14ac:dyDescent="0.3">
      <c r="A95" t="str">
        <f t="shared" si="7"/>
        <v>CONNECTICUT CVS PHARMACY LLC</v>
      </c>
      <c r="B95" t="str">
        <f t="shared" si="6"/>
        <v>Pharmacy</v>
      </c>
      <c r="C95" t="str">
        <f>"47 HAZARD AVENUE"</f>
        <v>47 HAZARD AVENUE</v>
      </c>
      <c r="D95" t="str">
        <f>""</f>
        <v/>
      </c>
      <c r="E95" t="str">
        <f>"ENFIELD"</f>
        <v>ENFIELD</v>
      </c>
      <c r="F95" t="str">
        <f t="shared" si="9"/>
        <v>CT</v>
      </c>
      <c r="G95" t="str">
        <f>"06082"</f>
        <v>06082</v>
      </c>
      <c r="H95" t="str">
        <f>"8607410751"</f>
        <v>8607410751</v>
      </c>
      <c r="I95" t="str">
        <f t="shared" si="8"/>
        <v>ENGLISH</v>
      </c>
    </row>
    <row r="96" spans="1:9" x14ac:dyDescent="0.3">
      <c r="A96" t="str">
        <f t="shared" si="7"/>
        <v>CONNECTICUT CVS PHARMACY LLC</v>
      </c>
      <c r="B96" t="str">
        <f t="shared" si="6"/>
        <v>Pharmacy</v>
      </c>
      <c r="C96" t="str">
        <f>"7 DURANT AVE"</f>
        <v>7 DURANT AVE</v>
      </c>
      <c r="D96" t="str">
        <f>""</f>
        <v/>
      </c>
      <c r="E96" t="str">
        <f>"BETHEL"</f>
        <v>BETHEL</v>
      </c>
      <c r="F96" t="str">
        <f t="shared" si="9"/>
        <v>CT</v>
      </c>
      <c r="G96" t="str">
        <f>"06801"</f>
        <v>06801</v>
      </c>
      <c r="H96" t="str">
        <f>"2037949500"</f>
        <v>2037949500</v>
      </c>
      <c r="I96" t="str">
        <f t="shared" si="8"/>
        <v>ENGLISH</v>
      </c>
    </row>
    <row r="97" spans="1:9" x14ac:dyDescent="0.3">
      <c r="A97" t="str">
        <f>"CONNECTICUT CVS PHARMACY, L.L.C"</f>
        <v>CONNECTICUT CVS PHARMACY, L.L.C</v>
      </c>
      <c r="B97" t="str">
        <f t="shared" si="6"/>
        <v>Pharmacy</v>
      </c>
      <c r="C97" t="str">
        <f>"66 HIGH RIDGE ROAD"</f>
        <v>66 HIGH RIDGE ROAD</v>
      </c>
      <c r="D97" t="str">
        <f>""</f>
        <v/>
      </c>
      <c r="E97" t="str">
        <f>"STAMFORD"</f>
        <v>STAMFORD</v>
      </c>
      <c r="F97" t="str">
        <f t="shared" si="9"/>
        <v>CT</v>
      </c>
      <c r="G97" t="str">
        <f>"06905"</f>
        <v>06905</v>
      </c>
      <c r="H97" t="str">
        <f>"2035413972"</f>
        <v>2035413972</v>
      </c>
      <c r="I97" t="str">
        <f t="shared" si="8"/>
        <v>ENGLISH</v>
      </c>
    </row>
    <row r="98" spans="1:9" x14ac:dyDescent="0.3">
      <c r="A98" t="str">
        <f t="shared" ref="A98:A129" si="10">"CONNECTICUT CVS PHARMACY, L.L.C."</f>
        <v>CONNECTICUT CVS PHARMACY, L.L.C.</v>
      </c>
      <c r="B98" t="str">
        <f t="shared" si="6"/>
        <v>Pharmacy</v>
      </c>
      <c r="C98" t="str">
        <f>"900 BOSTON POST RD"</f>
        <v>900 BOSTON POST RD</v>
      </c>
      <c r="D98" t="str">
        <f>""</f>
        <v/>
      </c>
      <c r="E98" t="str">
        <f>"GUILFORD"</f>
        <v>GUILFORD</v>
      </c>
      <c r="F98" t="str">
        <f t="shared" si="9"/>
        <v>CT</v>
      </c>
      <c r="G98" t="str">
        <f>"06437"</f>
        <v>06437</v>
      </c>
      <c r="H98" t="str">
        <f>"4017651500"</f>
        <v>4017651500</v>
      </c>
      <c r="I98" t="str">
        <f t="shared" si="8"/>
        <v>ENGLISH</v>
      </c>
    </row>
    <row r="99" spans="1:9" x14ac:dyDescent="0.3">
      <c r="A99" t="str">
        <f t="shared" si="10"/>
        <v>CONNECTICUT CVS PHARMACY, L.L.C.</v>
      </c>
      <c r="B99" t="str">
        <f t="shared" si="6"/>
        <v>Pharmacy</v>
      </c>
      <c r="C99" t="str">
        <f>"680 CONNECTICUT AVE"</f>
        <v>680 CONNECTICUT AVE</v>
      </c>
      <c r="D99" t="str">
        <f>""</f>
        <v/>
      </c>
      <c r="E99" t="str">
        <f>"NORWALK"</f>
        <v>NORWALK</v>
      </c>
      <c r="F99" t="str">
        <f t="shared" si="9"/>
        <v>CT</v>
      </c>
      <c r="G99" t="str">
        <f>"06854"</f>
        <v>06854</v>
      </c>
      <c r="H99" t="str">
        <f>"4017651500"</f>
        <v>4017651500</v>
      </c>
      <c r="I99" t="str">
        <f t="shared" si="8"/>
        <v>ENGLISH</v>
      </c>
    </row>
    <row r="100" spans="1:9" x14ac:dyDescent="0.3">
      <c r="A100" t="str">
        <f t="shared" si="10"/>
        <v>CONNECTICUT CVS PHARMACY, L.L.C.</v>
      </c>
      <c r="B100" t="str">
        <f t="shared" si="6"/>
        <v>Pharmacy</v>
      </c>
      <c r="C100" t="str">
        <f>"960 NORTH AVE"</f>
        <v>960 NORTH AVE</v>
      </c>
      <c r="D100" t="str">
        <f>""</f>
        <v/>
      </c>
      <c r="E100" t="str">
        <f>"BRIDGEPORT"</f>
        <v>BRIDGEPORT</v>
      </c>
      <c r="F100" t="str">
        <f t="shared" si="9"/>
        <v>CT</v>
      </c>
      <c r="G100" t="str">
        <f>"06606"</f>
        <v>06606</v>
      </c>
      <c r="H100" t="str">
        <f>"4017651500"</f>
        <v>4017651500</v>
      </c>
      <c r="I100" t="str">
        <f t="shared" si="8"/>
        <v>ENGLISH</v>
      </c>
    </row>
    <row r="101" spans="1:9" x14ac:dyDescent="0.3">
      <c r="A101" t="str">
        <f t="shared" si="10"/>
        <v>CONNECTICUT CVS PHARMACY, L.L.C.</v>
      </c>
      <c r="B101" t="str">
        <f t="shared" si="6"/>
        <v>Pharmacy</v>
      </c>
      <c r="C101" t="str">
        <f>"7 BACKUS AVE"</f>
        <v>7 BACKUS AVE</v>
      </c>
      <c r="D101" t="str">
        <f>""</f>
        <v/>
      </c>
      <c r="E101" t="str">
        <f>"DANBURY"</f>
        <v>DANBURY</v>
      </c>
      <c r="F101" t="str">
        <f t="shared" si="9"/>
        <v>CT</v>
      </c>
      <c r="G101" t="str">
        <f>"06810"</f>
        <v>06810</v>
      </c>
      <c r="H101" t="str">
        <f>"8007467287"</f>
        <v>8007467287</v>
      </c>
      <c r="I101" t="str">
        <f t="shared" si="8"/>
        <v>ENGLISH</v>
      </c>
    </row>
    <row r="102" spans="1:9" x14ac:dyDescent="0.3">
      <c r="A102" t="str">
        <f t="shared" si="10"/>
        <v>CONNECTICUT CVS PHARMACY, L.L.C.</v>
      </c>
      <c r="B102" t="str">
        <f t="shared" si="6"/>
        <v>Pharmacy</v>
      </c>
      <c r="C102" t="str">
        <f>"153 BROAD ST"</f>
        <v>153 BROAD ST</v>
      </c>
      <c r="D102" t="str">
        <f>""</f>
        <v/>
      </c>
      <c r="E102" t="str">
        <f>"MERIDEN"</f>
        <v>MERIDEN</v>
      </c>
      <c r="F102" t="str">
        <f t="shared" si="9"/>
        <v>CT</v>
      </c>
      <c r="G102" t="str">
        <f>"06450"</f>
        <v>06450</v>
      </c>
      <c r="H102" t="str">
        <f>"2032378997"</f>
        <v>2032378997</v>
      </c>
      <c r="I102" t="str">
        <f t="shared" si="8"/>
        <v>ENGLISH</v>
      </c>
    </row>
    <row r="103" spans="1:9" x14ac:dyDescent="0.3">
      <c r="A103" t="str">
        <f t="shared" si="10"/>
        <v>CONNECTICUT CVS PHARMACY, L.L.C.</v>
      </c>
      <c r="B103" t="str">
        <f t="shared" si="6"/>
        <v>Pharmacy</v>
      </c>
      <c r="C103" t="str">
        <f>"330 GRASMERE AVENUE"</f>
        <v>330 GRASMERE AVENUE</v>
      </c>
      <c r="D103" t="str">
        <f>""</f>
        <v/>
      </c>
      <c r="E103" t="str">
        <f>"FAIRFIELD"</f>
        <v>FAIRFIELD</v>
      </c>
      <c r="F103" t="str">
        <f t="shared" si="9"/>
        <v>CT</v>
      </c>
      <c r="G103" t="str">
        <f>"06824"</f>
        <v>06824</v>
      </c>
      <c r="H103" t="str">
        <f>"2032550060"</f>
        <v>2032550060</v>
      </c>
      <c r="I103" t="str">
        <f t="shared" si="8"/>
        <v>ENGLISH</v>
      </c>
    </row>
    <row r="104" spans="1:9" x14ac:dyDescent="0.3">
      <c r="A104" t="str">
        <f t="shared" si="10"/>
        <v>CONNECTICUT CVS PHARMACY, L.L.C.</v>
      </c>
      <c r="B104" t="str">
        <f t="shared" si="6"/>
        <v>Pharmacy</v>
      </c>
      <c r="C104" t="str">
        <f>"355 CAMPBELL AVENUE"</f>
        <v>355 CAMPBELL AVENUE</v>
      </c>
      <c r="D104" t="str">
        <f>""</f>
        <v/>
      </c>
      <c r="E104" t="str">
        <f>"WEST HAVEN"</f>
        <v>WEST HAVEN</v>
      </c>
      <c r="F104" t="str">
        <f t="shared" si="9"/>
        <v>CT</v>
      </c>
      <c r="G104" t="str">
        <f>"06516"</f>
        <v>06516</v>
      </c>
      <c r="H104" t="str">
        <f>"2039311190"</f>
        <v>2039311190</v>
      </c>
      <c r="I104" t="str">
        <f t="shared" si="8"/>
        <v>ENGLISH</v>
      </c>
    </row>
    <row r="105" spans="1:9" x14ac:dyDescent="0.3">
      <c r="A105" t="str">
        <f t="shared" si="10"/>
        <v>CONNECTICUT CVS PHARMACY, L.L.C.</v>
      </c>
      <c r="B105" t="str">
        <f t="shared" si="6"/>
        <v>Pharmacy</v>
      </c>
      <c r="C105" t="str">
        <f>"969 HIGH RIDGE RD"</f>
        <v>969 HIGH RIDGE RD</v>
      </c>
      <c r="D105" t="str">
        <f>""</f>
        <v/>
      </c>
      <c r="E105" t="str">
        <f>"STAMFORD"</f>
        <v>STAMFORD</v>
      </c>
      <c r="F105" t="str">
        <f t="shared" si="9"/>
        <v>CT</v>
      </c>
      <c r="G105" t="str">
        <f>"06905"</f>
        <v>06905</v>
      </c>
      <c r="H105" t="str">
        <f>"2033221520"</f>
        <v>2033221520</v>
      </c>
      <c r="I105" t="str">
        <f t="shared" si="8"/>
        <v>ENGLISH</v>
      </c>
    </row>
    <row r="106" spans="1:9" x14ac:dyDescent="0.3">
      <c r="A106" t="str">
        <f t="shared" si="10"/>
        <v>CONNECTICUT CVS PHARMACY, L.L.C.</v>
      </c>
      <c r="B106" t="str">
        <f t="shared" si="6"/>
        <v>Pharmacy</v>
      </c>
      <c r="C106" t="str">
        <f>"720 BRANCHVILLE RD"</f>
        <v>720 BRANCHVILLE RD</v>
      </c>
      <c r="D106" t="str">
        <f>""</f>
        <v/>
      </c>
      <c r="E106" t="str">
        <f>"RIDGEFIELD"</f>
        <v>RIDGEFIELD</v>
      </c>
      <c r="F106" t="str">
        <f t="shared" si="9"/>
        <v>CT</v>
      </c>
      <c r="G106" t="str">
        <f>"06877"</f>
        <v>06877</v>
      </c>
      <c r="H106" t="str">
        <f>"2035447094"</f>
        <v>2035447094</v>
      </c>
      <c r="I106" t="str">
        <f t="shared" si="8"/>
        <v>ENGLISH</v>
      </c>
    </row>
    <row r="107" spans="1:9" x14ac:dyDescent="0.3">
      <c r="A107" t="str">
        <f t="shared" si="10"/>
        <v>CONNECTICUT CVS PHARMACY, L.L.C.</v>
      </c>
      <c r="B107" t="str">
        <f t="shared" si="6"/>
        <v>Pharmacy</v>
      </c>
      <c r="C107" t="str">
        <f>"8 ROYCE CIRCLE TS-3"</f>
        <v>8 ROYCE CIRCLE TS-3</v>
      </c>
      <c r="D107" t="str">
        <f>""</f>
        <v/>
      </c>
      <c r="E107" t="str">
        <f>"STORRS"</f>
        <v>STORRS</v>
      </c>
      <c r="F107" t="str">
        <f t="shared" si="9"/>
        <v>CT</v>
      </c>
      <c r="G107" t="str">
        <f>"06268"</f>
        <v>06268</v>
      </c>
      <c r="H107" t="str">
        <f>"8604291536"</f>
        <v>8604291536</v>
      </c>
      <c r="I107" t="str">
        <f t="shared" si="8"/>
        <v>ENGLISH</v>
      </c>
    </row>
    <row r="108" spans="1:9" x14ac:dyDescent="0.3">
      <c r="A108" t="str">
        <f t="shared" si="10"/>
        <v>CONNECTICUT CVS PHARMACY, L.L.C.</v>
      </c>
      <c r="B108" t="str">
        <f t="shared" si="6"/>
        <v>Pharmacy</v>
      </c>
      <c r="C108" t="str">
        <f>"281 CONNECTICUT AVENUE"</f>
        <v>281 CONNECTICUT AVENUE</v>
      </c>
      <c r="D108" t="str">
        <f>""</f>
        <v/>
      </c>
      <c r="E108" t="str">
        <f>"NORWALK"</f>
        <v>NORWALK</v>
      </c>
      <c r="F108" t="str">
        <f t="shared" si="9"/>
        <v>CT</v>
      </c>
      <c r="G108" t="str">
        <f>"06854"</f>
        <v>06854</v>
      </c>
      <c r="H108" t="str">
        <f>"2032995486"</f>
        <v>2032995486</v>
      </c>
      <c r="I108" t="str">
        <f t="shared" si="8"/>
        <v>ENGLISH</v>
      </c>
    </row>
    <row r="109" spans="1:9" x14ac:dyDescent="0.3">
      <c r="A109" t="str">
        <f t="shared" si="10"/>
        <v>CONNECTICUT CVS PHARMACY, L.L.C.</v>
      </c>
      <c r="B109" t="str">
        <f t="shared" si="6"/>
        <v>Pharmacy</v>
      </c>
      <c r="C109" t="str">
        <f>"644 W. PUTNAM AVENUE"</f>
        <v>644 W. PUTNAM AVENUE</v>
      </c>
      <c r="D109" t="str">
        <f>""</f>
        <v/>
      </c>
      <c r="E109" t="str">
        <f>"GREENWICH"</f>
        <v>GREENWICH</v>
      </c>
      <c r="F109" t="str">
        <f t="shared" si="9"/>
        <v>CT</v>
      </c>
      <c r="G109" t="str">
        <f>"06830"</f>
        <v>06830</v>
      </c>
      <c r="H109" t="str">
        <f>"2034222022"</f>
        <v>2034222022</v>
      </c>
      <c r="I109" t="str">
        <f t="shared" si="8"/>
        <v>ENGLISH</v>
      </c>
    </row>
    <row r="110" spans="1:9" x14ac:dyDescent="0.3">
      <c r="A110" t="str">
        <f t="shared" si="10"/>
        <v>CONNECTICUT CVS PHARMACY, L.L.C.</v>
      </c>
      <c r="B110" t="str">
        <f t="shared" si="6"/>
        <v>Pharmacy</v>
      </c>
      <c r="C110" t="str">
        <f>"150 WASHINGTON STREET"</f>
        <v>150 WASHINGTON STREET</v>
      </c>
      <c r="D110" t="str">
        <f>""</f>
        <v/>
      </c>
      <c r="E110" t="str">
        <f>"HARTFORD"</f>
        <v>HARTFORD</v>
      </c>
      <c r="F110" t="str">
        <f t="shared" si="9"/>
        <v>CT</v>
      </c>
      <c r="G110" t="str">
        <f>"06106"</f>
        <v>06106</v>
      </c>
      <c r="H110" t="str">
        <f>"8605951750"</f>
        <v>8605951750</v>
      </c>
      <c r="I110" t="str">
        <f t="shared" si="8"/>
        <v>ENGLISH</v>
      </c>
    </row>
    <row r="111" spans="1:9" x14ac:dyDescent="0.3">
      <c r="A111" t="str">
        <f t="shared" si="10"/>
        <v>CONNECTICUT CVS PHARMACY, L.L.C.</v>
      </c>
      <c r="B111" t="str">
        <f t="shared" si="6"/>
        <v>Pharmacy</v>
      </c>
      <c r="C111" t="str">
        <f>"965 WHITE PLAINS ROAD"</f>
        <v>965 WHITE PLAINS ROAD</v>
      </c>
      <c r="D111" t="str">
        <f>""</f>
        <v/>
      </c>
      <c r="E111" t="str">
        <f>"TRUMBULL"</f>
        <v>TRUMBULL</v>
      </c>
      <c r="F111" t="str">
        <f t="shared" si="9"/>
        <v>CT</v>
      </c>
      <c r="G111" t="str">
        <f>"06611"</f>
        <v>06611</v>
      </c>
      <c r="H111" t="str">
        <f>"2032612541"</f>
        <v>2032612541</v>
      </c>
      <c r="I111" t="str">
        <f t="shared" si="8"/>
        <v>ENGLISH</v>
      </c>
    </row>
    <row r="112" spans="1:9" x14ac:dyDescent="0.3">
      <c r="A112" t="str">
        <f t="shared" si="10"/>
        <v>CONNECTICUT CVS PHARMACY, L.L.C.</v>
      </c>
      <c r="B112" t="str">
        <f t="shared" si="6"/>
        <v>Pharmacy</v>
      </c>
      <c r="C112" t="str">
        <f>"1922 E MAIN ST"</f>
        <v>1922 E MAIN ST</v>
      </c>
      <c r="D112" t="str">
        <f>""</f>
        <v/>
      </c>
      <c r="E112" t="str">
        <f>"TORRINGTON"</f>
        <v>TORRINGTON</v>
      </c>
      <c r="F112" t="str">
        <f t="shared" si="9"/>
        <v>CT</v>
      </c>
      <c r="G112" t="str">
        <f>"06790"</f>
        <v>06790</v>
      </c>
      <c r="H112" t="str">
        <f>"8606184008"</f>
        <v>8606184008</v>
      </c>
      <c r="I112" t="str">
        <f>"ENGLISH;INTERPRETER AVAILABLE"</f>
        <v>ENGLISH;INTERPRETER AVAILABLE</v>
      </c>
    </row>
    <row r="113" spans="1:9" x14ac:dyDescent="0.3">
      <c r="A113" t="str">
        <f t="shared" si="10"/>
        <v>CONNECTICUT CVS PHARMACY, L.L.C.</v>
      </c>
      <c r="B113" t="str">
        <f t="shared" si="6"/>
        <v>Pharmacy</v>
      </c>
      <c r="C113" t="str">
        <f>"300 CHASE AVE"</f>
        <v>300 CHASE AVE</v>
      </c>
      <c r="D113" t="str">
        <f>""</f>
        <v/>
      </c>
      <c r="E113" t="str">
        <f>"WATERBURY"</f>
        <v>WATERBURY</v>
      </c>
      <c r="F113" t="str">
        <f t="shared" si="9"/>
        <v>CT</v>
      </c>
      <c r="G113" t="str">
        <f>"06704"</f>
        <v>06704</v>
      </c>
      <c r="H113" t="str">
        <f>"2034373674"</f>
        <v>2034373674</v>
      </c>
      <c r="I113" t="str">
        <f>"ENGLISH;INTERPRETER AVAILABLE"</f>
        <v>ENGLISH;INTERPRETER AVAILABLE</v>
      </c>
    </row>
    <row r="114" spans="1:9" x14ac:dyDescent="0.3">
      <c r="A114" t="str">
        <f t="shared" si="10"/>
        <v>CONNECTICUT CVS PHARMACY, L.L.C.</v>
      </c>
      <c r="B114" t="str">
        <f t="shared" si="6"/>
        <v>Pharmacy</v>
      </c>
      <c r="C114" t="str">
        <f>"3265 BERLIN TPKE"</f>
        <v>3265 BERLIN TPKE</v>
      </c>
      <c r="D114" t="str">
        <f>""</f>
        <v/>
      </c>
      <c r="E114" t="str">
        <f>"NEWINGTON"</f>
        <v>NEWINGTON</v>
      </c>
      <c r="F114" t="str">
        <f t="shared" si="9"/>
        <v>CT</v>
      </c>
      <c r="G114" t="str">
        <f>"06111"</f>
        <v>06111</v>
      </c>
      <c r="H114" t="str">
        <f>"8606160023"</f>
        <v>8606160023</v>
      </c>
      <c r="I114" t="str">
        <f>"ENGLISH;INTERPRETER AVAILABLE"</f>
        <v>ENGLISH;INTERPRETER AVAILABLE</v>
      </c>
    </row>
    <row r="115" spans="1:9" x14ac:dyDescent="0.3">
      <c r="A115" t="str">
        <f t="shared" si="10"/>
        <v>CONNECTICUT CVS PHARMACY, L.L.C.</v>
      </c>
      <c r="B115" t="str">
        <f t="shared" si="6"/>
        <v>Pharmacy</v>
      </c>
      <c r="C115" t="str">
        <f>"537 CANAL ST"</f>
        <v>537 CANAL ST</v>
      </c>
      <c r="D115" t="str">
        <f>""</f>
        <v/>
      </c>
      <c r="E115" t="str">
        <f>"STAMFORD"</f>
        <v>STAMFORD</v>
      </c>
      <c r="F115" t="str">
        <f t="shared" si="9"/>
        <v>CT</v>
      </c>
      <c r="G115" t="str">
        <f>"06902"</f>
        <v>06902</v>
      </c>
      <c r="H115" t="str">
        <f>"2033231293"</f>
        <v>2033231293</v>
      </c>
      <c r="I115" t="str">
        <f>"ENGLISH"</f>
        <v>ENGLISH</v>
      </c>
    </row>
    <row r="116" spans="1:9" x14ac:dyDescent="0.3">
      <c r="A116" t="str">
        <f t="shared" si="10"/>
        <v>CONNECTICUT CVS PHARMACY, L.L.C.</v>
      </c>
      <c r="B116" t="str">
        <f t="shared" si="6"/>
        <v>Pharmacy</v>
      </c>
      <c r="C116" t="str">
        <f>"120 HAWLEY LN"</f>
        <v>120 HAWLEY LN</v>
      </c>
      <c r="D116" t="str">
        <f>""</f>
        <v/>
      </c>
      <c r="E116" t="str">
        <f>"TRUMBULL"</f>
        <v>TRUMBULL</v>
      </c>
      <c r="F116" t="str">
        <f t="shared" si="9"/>
        <v>CT</v>
      </c>
      <c r="G116" t="str">
        <f>"06611"</f>
        <v>06611</v>
      </c>
      <c r="H116" t="str">
        <f>"2034550103"</f>
        <v>2034550103</v>
      </c>
      <c r="I116" t="str">
        <f>"ENGLISH;INTERPRETER AVAILABLE"</f>
        <v>ENGLISH;INTERPRETER AVAILABLE</v>
      </c>
    </row>
    <row r="117" spans="1:9" x14ac:dyDescent="0.3">
      <c r="A117" t="str">
        <f t="shared" si="10"/>
        <v>CONNECTICUT CVS PHARMACY, L.L.C.</v>
      </c>
      <c r="B117" t="str">
        <f t="shared" si="6"/>
        <v>Pharmacy</v>
      </c>
      <c r="C117" t="str">
        <f>"37 W MAIN ST"</f>
        <v>37 W MAIN ST</v>
      </c>
      <c r="D117" t="str">
        <f>""</f>
        <v/>
      </c>
      <c r="E117" t="str">
        <f>"STAFFORD SPRINGS"</f>
        <v>STAFFORD SPRINGS</v>
      </c>
      <c r="F117" t="str">
        <f t="shared" si="9"/>
        <v>CT</v>
      </c>
      <c r="G117" t="str">
        <f>"06076"</f>
        <v>06076</v>
      </c>
      <c r="H117" t="str">
        <f>"8606840015"</f>
        <v>8606840015</v>
      </c>
      <c r="I117" t="str">
        <f>"ENGLISH"</f>
        <v>ENGLISH</v>
      </c>
    </row>
    <row r="118" spans="1:9" x14ac:dyDescent="0.3">
      <c r="A118" t="str">
        <f t="shared" si="10"/>
        <v>CONNECTICUT CVS PHARMACY, L.L.C.</v>
      </c>
      <c r="B118" t="str">
        <f t="shared" si="6"/>
        <v>Pharmacy</v>
      </c>
      <c r="C118" t="str">
        <f>"123 CHURCH ST"</f>
        <v>123 CHURCH ST</v>
      </c>
      <c r="D118" t="str">
        <f>""</f>
        <v/>
      </c>
      <c r="E118" t="str">
        <f>"NEW HAVEN"</f>
        <v>NEW HAVEN</v>
      </c>
      <c r="F118" t="str">
        <f t="shared" si="9"/>
        <v>CT</v>
      </c>
      <c r="G118" t="str">
        <f>"06510"</f>
        <v>06510</v>
      </c>
      <c r="H118" t="str">
        <f>"2034989442"</f>
        <v>2034989442</v>
      </c>
      <c r="I118" t="str">
        <f>"ENGLISH"</f>
        <v>ENGLISH</v>
      </c>
    </row>
    <row r="119" spans="1:9" x14ac:dyDescent="0.3">
      <c r="A119" t="str">
        <f t="shared" si="10"/>
        <v>CONNECTICUT CVS PHARMACY, L.L.C.</v>
      </c>
      <c r="B119" t="str">
        <f t="shared" si="6"/>
        <v>Pharmacy</v>
      </c>
      <c r="C119" t="str">
        <f>"195 RIVER RD"</f>
        <v>195 RIVER RD</v>
      </c>
      <c r="D119" t="str">
        <f>""</f>
        <v/>
      </c>
      <c r="E119" t="str">
        <f>"LISBON"</f>
        <v>LISBON</v>
      </c>
      <c r="F119" t="str">
        <f t="shared" si="9"/>
        <v>CT</v>
      </c>
      <c r="G119" t="str">
        <f>"06351"</f>
        <v>06351</v>
      </c>
      <c r="H119" t="str">
        <f>"8608232961"</f>
        <v>8608232961</v>
      </c>
      <c r="I119" t="str">
        <f t="shared" ref="I119:I134" si="11">"ENGLISH;INTERPRETER AVAILABLE"</f>
        <v>ENGLISH;INTERPRETER AVAILABLE</v>
      </c>
    </row>
    <row r="120" spans="1:9" x14ac:dyDescent="0.3">
      <c r="A120" t="str">
        <f t="shared" si="10"/>
        <v>CONNECTICUT CVS PHARMACY, L.L.C.</v>
      </c>
      <c r="B120" t="str">
        <f t="shared" si="6"/>
        <v>Pharmacy</v>
      </c>
      <c r="C120" t="str">
        <f>"1191 BOSTON POST RD"</f>
        <v>1191 BOSTON POST RD</v>
      </c>
      <c r="D120" t="str">
        <f>""</f>
        <v/>
      </c>
      <c r="E120" t="str">
        <f>"MILFORD"</f>
        <v>MILFORD</v>
      </c>
      <c r="F120" t="str">
        <f t="shared" si="9"/>
        <v>CT</v>
      </c>
      <c r="G120" t="str">
        <f>"06460"</f>
        <v>06460</v>
      </c>
      <c r="H120" t="str">
        <f>"2033065064"</f>
        <v>2033065064</v>
      </c>
      <c r="I120" t="str">
        <f t="shared" si="11"/>
        <v>ENGLISH;INTERPRETER AVAILABLE</v>
      </c>
    </row>
    <row r="121" spans="1:9" x14ac:dyDescent="0.3">
      <c r="A121" t="str">
        <f t="shared" si="10"/>
        <v>CONNECTICUT CVS PHARMACY, L.L.C.</v>
      </c>
      <c r="B121" t="str">
        <f t="shared" si="6"/>
        <v>Pharmacy</v>
      </c>
      <c r="C121" t="str">
        <f>"7 STONY HILL RD"</f>
        <v>7 STONY HILL RD</v>
      </c>
      <c r="D121" t="str">
        <f>""</f>
        <v/>
      </c>
      <c r="E121" t="str">
        <f>"BETHEL"</f>
        <v>BETHEL</v>
      </c>
      <c r="F121" t="str">
        <f t="shared" si="9"/>
        <v>CT</v>
      </c>
      <c r="G121" t="str">
        <f>"06801"</f>
        <v>06801</v>
      </c>
      <c r="H121" t="str">
        <f>"2034481030"</f>
        <v>2034481030</v>
      </c>
      <c r="I121" t="str">
        <f t="shared" si="11"/>
        <v>ENGLISH;INTERPRETER AVAILABLE</v>
      </c>
    </row>
    <row r="122" spans="1:9" x14ac:dyDescent="0.3">
      <c r="A122" t="str">
        <f t="shared" si="10"/>
        <v>CONNECTICUT CVS PHARMACY, L.L.C.</v>
      </c>
      <c r="B122" t="str">
        <f t="shared" si="6"/>
        <v>Pharmacy</v>
      </c>
      <c r="C122" t="str">
        <f>"1075 KENNEDY RD"</f>
        <v>1075 KENNEDY RD</v>
      </c>
      <c r="D122" t="str">
        <f>""</f>
        <v/>
      </c>
      <c r="E122" t="str">
        <f>"WINDSOR"</f>
        <v>WINDSOR</v>
      </c>
      <c r="F122" t="str">
        <f t="shared" si="9"/>
        <v>CT</v>
      </c>
      <c r="G122" t="str">
        <f>"06095"</f>
        <v>06095</v>
      </c>
      <c r="H122" t="str">
        <f>"8609073069"</f>
        <v>8609073069</v>
      </c>
      <c r="I122" t="str">
        <f t="shared" si="11"/>
        <v>ENGLISH;INTERPRETER AVAILABLE</v>
      </c>
    </row>
    <row r="123" spans="1:9" x14ac:dyDescent="0.3">
      <c r="A123" t="str">
        <f t="shared" si="10"/>
        <v>CONNECTICUT CVS PHARMACY, L.L.C.</v>
      </c>
      <c r="B123" t="str">
        <f t="shared" si="6"/>
        <v>Pharmacy</v>
      </c>
      <c r="C123" t="str">
        <f>"600 EXECUTIVE BLVD"</f>
        <v>600 EXECUTIVE BLVD</v>
      </c>
      <c r="D123" t="str">
        <f>""</f>
        <v/>
      </c>
      <c r="E123" t="str">
        <f>"SOUTHINGTON"</f>
        <v>SOUTHINGTON</v>
      </c>
      <c r="F123" t="str">
        <f t="shared" si="9"/>
        <v>CT</v>
      </c>
      <c r="G123" t="str">
        <f>"06489"</f>
        <v>06489</v>
      </c>
      <c r="H123" t="str">
        <f>"8604066755"</f>
        <v>8604066755</v>
      </c>
      <c r="I123" t="str">
        <f t="shared" si="11"/>
        <v>ENGLISH;INTERPRETER AVAILABLE</v>
      </c>
    </row>
    <row r="124" spans="1:9" x14ac:dyDescent="0.3">
      <c r="A124" t="str">
        <f t="shared" si="10"/>
        <v>CONNECTICUT CVS PHARMACY, L.L.C.</v>
      </c>
      <c r="B124" t="str">
        <f t="shared" si="6"/>
        <v>Pharmacy</v>
      </c>
      <c r="C124" t="str">
        <f>"900 HARTFORD TPKE"</f>
        <v>900 HARTFORD TPKE</v>
      </c>
      <c r="D124" t="str">
        <f>""</f>
        <v/>
      </c>
      <c r="E124" t="str">
        <f>"WATERFORD"</f>
        <v>WATERFORD</v>
      </c>
      <c r="F124" t="str">
        <f t="shared" si="9"/>
        <v>CT</v>
      </c>
      <c r="G124" t="str">
        <f>"06385"</f>
        <v>06385</v>
      </c>
      <c r="H124" t="str">
        <f>"8604433171"</f>
        <v>8604433171</v>
      </c>
      <c r="I124" t="str">
        <f t="shared" si="11"/>
        <v>ENGLISH;INTERPRETER AVAILABLE</v>
      </c>
    </row>
    <row r="125" spans="1:9" x14ac:dyDescent="0.3">
      <c r="A125" t="str">
        <f t="shared" si="10"/>
        <v>CONNECTICUT CVS PHARMACY, L.L.C.</v>
      </c>
      <c r="B125" t="str">
        <f t="shared" si="6"/>
        <v>Pharmacy</v>
      </c>
      <c r="C125" t="str">
        <f>"90 ELM ST"</f>
        <v>90 ELM ST</v>
      </c>
      <c r="D125" t="str">
        <f>""</f>
        <v/>
      </c>
      <c r="E125" t="str">
        <f>"ENFIELD"</f>
        <v>ENFIELD</v>
      </c>
      <c r="F125" t="str">
        <f t="shared" ref="F125:F156" si="12">"CT"</f>
        <v>CT</v>
      </c>
      <c r="G125" t="str">
        <f>"06082"</f>
        <v>06082</v>
      </c>
      <c r="H125" t="str">
        <f>"8607418054"</f>
        <v>8607418054</v>
      </c>
      <c r="I125" t="str">
        <f t="shared" si="11"/>
        <v>ENGLISH;INTERPRETER AVAILABLE</v>
      </c>
    </row>
    <row r="126" spans="1:9" x14ac:dyDescent="0.3">
      <c r="A126" t="str">
        <f t="shared" si="10"/>
        <v>CONNECTICUT CVS PHARMACY, L.L.C.</v>
      </c>
      <c r="B126" t="str">
        <f t="shared" si="6"/>
        <v>Pharmacy</v>
      </c>
      <c r="C126" t="str">
        <f>"2177 KILLINGLY CMNS"</f>
        <v>2177 KILLINGLY CMNS</v>
      </c>
      <c r="D126" t="str">
        <f>""</f>
        <v/>
      </c>
      <c r="E126" t="str">
        <f>"DAYVILLE"</f>
        <v>DAYVILLE</v>
      </c>
      <c r="F126" t="str">
        <f t="shared" si="12"/>
        <v>CT</v>
      </c>
      <c r="G126" t="str">
        <f>"06241"</f>
        <v>06241</v>
      </c>
      <c r="H126" t="str">
        <f>"8604121284"</f>
        <v>8604121284</v>
      </c>
      <c r="I126" t="str">
        <f t="shared" si="11"/>
        <v>ENGLISH;INTERPRETER AVAILABLE</v>
      </c>
    </row>
    <row r="127" spans="1:9" x14ac:dyDescent="0.3">
      <c r="A127" t="str">
        <f t="shared" si="10"/>
        <v>CONNECTICUT CVS PHARMACY, L.L.C.</v>
      </c>
      <c r="B127" t="str">
        <f t="shared" si="6"/>
        <v>Pharmacy</v>
      </c>
      <c r="C127" t="str">
        <f>"5065 MAIN ST STE TARGET"</f>
        <v>5065 MAIN ST STE TARGET</v>
      </c>
      <c r="D127" t="str">
        <f>""</f>
        <v/>
      </c>
      <c r="E127" t="str">
        <f>"TRUMBULL"</f>
        <v>TRUMBULL</v>
      </c>
      <c r="F127" t="str">
        <f t="shared" si="12"/>
        <v>CT</v>
      </c>
      <c r="G127" t="str">
        <f>"06611"</f>
        <v>06611</v>
      </c>
      <c r="H127" t="str">
        <f>"4017708577"</f>
        <v>4017708577</v>
      </c>
      <c r="I127" t="str">
        <f t="shared" si="11"/>
        <v>ENGLISH;INTERPRETER AVAILABLE</v>
      </c>
    </row>
    <row r="128" spans="1:9" x14ac:dyDescent="0.3">
      <c r="A128" t="str">
        <f t="shared" si="10"/>
        <v>CONNECTICUT CVS PHARMACY, L.L.C.</v>
      </c>
      <c r="B128" t="str">
        <f t="shared" si="6"/>
        <v>Pharmacy</v>
      </c>
      <c r="C128" t="str">
        <f>"475 HARTFORD RD"</f>
        <v>475 HARTFORD RD</v>
      </c>
      <c r="D128" t="str">
        <f>""</f>
        <v/>
      </c>
      <c r="E128" t="str">
        <f>"NEW BRITAIN"</f>
        <v>NEW BRITAIN</v>
      </c>
      <c r="F128" t="str">
        <f t="shared" si="12"/>
        <v>CT</v>
      </c>
      <c r="G128" t="str">
        <f>"06053"</f>
        <v>06053</v>
      </c>
      <c r="H128" t="str">
        <f>"8603489163"</f>
        <v>8603489163</v>
      </c>
      <c r="I128" t="str">
        <f t="shared" si="11"/>
        <v>ENGLISH;INTERPRETER AVAILABLE</v>
      </c>
    </row>
    <row r="129" spans="1:9" x14ac:dyDescent="0.3">
      <c r="A129" t="str">
        <f t="shared" si="10"/>
        <v>CONNECTICUT CVS PHARMACY, L.L.C.</v>
      </c>
      <c r="B129" t="str">
        <f t="shared" si="6"/>
        <v>Pharmacy</v>
      </c>
      <c r="C129" t="str">
        <f>"200 UNIVERSAL DR N"</f>
        <v>200 UNIVERSAL DR N</v>
      </c>
      <c r="D129" t="str">
        <f>""</f>
        <v/>
      </c>
      <c r="E129" t="str">
        <f>"NORTH HAVEN"</f>
        <v>NORTH HAVEN</v>
      </c>
      <c r="F129" t="str">
        <f t="shared" si="12"/>
        <v>CT</v>
      </c>
      <c r="G129" t="str">
        <f>"06473"</f>
        <v>06473</v>
      </c>
      <c r="H129" t="str">
        <f>"2038593491"</f>
        <v>2038593491</v>
      </c>
      <c r="I129" t="str">
        <f t="shared" si="11"/>
        <v>ENGLISH;INTERPRETER AVAILABLE</v>
      </c>
    </row>
    <row r="130" spans="1:9" x14ac:dyDescent="0.3">
      <c r="A130" t="str">
        <f t="shared" ref="A130:A161" si="13">"CONNECTICUT CVS PHARMACY, L.L.C."</f>
        <v>CONNECTICUT CVS PHARMACY, L.L.C.</v>
      </c>
      <c r="B130" t="str">
        <f t="shared" ref="B130:B193" si="14">"Pharmacy"</f>
        <v>Pharmacy</v>
      </c>
      <c r="C130" t="str">
        <f>"20 W MAIN ST"</f>
        <v>20 W MAIN ST</v>
      </c>
      <c r="D130" t="str">
        <f>""</f>
        <v/>
      </c>
      <c r="E130" t="str">
        <f>"ANSONIA"</f>
        <v>ANSONIA</v>
      </c>
      <c r="F130" t="str">
        <f t="shared" si="12"/>
        <v>CT</v>
      </c>
      <c r="G130" t="str">
        <f>"06401"</f>
        <v>06401</v>
      </c>
      <c r="H130" t="str">
        <f>"2032785056"</f>
        <v>2032785056</v>
      </c>
      <c r="I130" t="str">
        <f t="shared" si="11"/>
        <v>ENGLISH;INTERPRETER AVAILABLE</v>
      </c>
    </row>
    <row r="131" spans="1:9" x14ac:dyDescent="0.3">
      <c r="A131" t="str">
        <f t="shared" si="13"/>
        <v>CONNECTICUT CVS PHARMACY, L.L.C.</v>
      </c>
      <c r="B131" t="str">
        <f t="shared" si="14"/>
        <v>Pharmacy</v>
      </c>
      <c r="C131" t="str">
        <f>"125 BUCKLAND HILLS DR"</f>
        <v>125 BUCKLAND HILLS DR</v>
      </c>
      <c r="D131" t="str">
        <f>""</f>
        <v/>
      </c>
      <c r="E131" t="str">
        <f>"MANCHESTER"</f>
        <v>MANCHESTER</v>
      </c>
      <c r="F131" t="str">
        <f t="shared" si="12"/>
        <v>CT</v>
      </c>
      <c r="G131" t="str">
        <f>"06042"</f>
        <v>06042</v>
      </c>
      <c r="H131" t="str">
        <f>"8603270083"</f>
        <v>8603270083</v>
      </c>
      <c r="I131" t="str">
        <f t="shared" si="11"/>
        <v>ENGLISH;INTERPRETER AVAILABLE</v>
      </c>
    </row>
    <row r="132" spans="1:9" x14ac:dyDescent="0.3">
      <c r="A132" t="str">
        <f t="shared" si="13"/>
        <v>CONNECTICUT CVS PHARMACY, L.L.C.</v>
      </c>
      <c r="B132" t="str">
        <f t="shared" si="14"/>
        <v>Pharmacy</v>
      </c>
      <c r="C132" t="str">
        <f>"474 CHAMBERLAIN HWY"</f>
        <v>474 CHAMBERLAIN HWY</v>
      </c>
      <c r="D132" t="str">
        <f>""</f>
        <v/>
      </c>
      <c r="E132" t="str">
        <f>"MERIDEN"</f>
        <v>MERIDEN</v>
      </c>
      <c r="F132" t="str">
        <f t="shared" si="12"/>
        <v>CT</v>
      </c>
      <c r="G132" t="str">
        <f>"06042"</f>
        <v>06042</v>
      </c>
      <c r="H132" t="str">
        <f>"2036346060"</f>
        <v>2036346060</v>
      </c>
      <c r="I132" t="str">
        <f t="shared" si="11"/>
        <v>ENGLISH;INTERPRETER AVAILABLE</v>
      </c>
    </row>
    <row r="133" spans="1:9" x14ac:dyDescent="0.3">
      <c r="A133" t="str">
        <f t="shared" si="13"/>
        <v>CONNECTICUT CVS PHARMACY, L.L.C.</v>
      </c>
      <c r="B133" t="str">
        <f t="shared" si="14"/>
        <v>Pharmacy</v>
      </c>
      <c r="C133" t="str">
        <f>"25 BOSTON POST RD"</f>
        <v>25 BOSTON POST RD</v>
      </c>
      <c r="D133" t="str">
        <f>""</f>
        <v/>
      </c>
      <c r="E133" t="str">
        <f>"ORANGE"</f>
        <v>ORANGE</v>
      </c>
      <c r="F133" t="str">
        <f t="shared" si="12"/>
        <v>CT</v>
      </c>
      <c r="G133" t="str">
        <f>"06477"</f>
        <v>06477</v>
      </c>
      <c r="H133" t="str">
        <f>"2038593695"</f>
        <v>2038593695</v>
      </c>
      <c r="I133" t="str">
        <f t="shared" si="11"/>
        <v>ENGLISH;INTERPRETER AVAILABLE</v>
      </c>
    </row>
    <row r="134" spans="1:9" x14ac:dyDescent="0.3">
      <c r="A134" t="str">
        <f t="shared" si="13"/>
        <v>CONNECTICUT CVS PHARMACY, L.L.C.</v>
      </c>
      <c r="B134" t="str">
        <f t="shared" si="14"/>
        <v>Pharmacy</v>
      </c>
      <c r="C134" t="str">
        <f>"21 BROAD ST"</f>
        <v>21 BROAD ST</v>
      </c>
      <c r="D134" t="str">
        <f>""</f>
        <v/>
      </c>
      <c r="E134" t="str">
        <f>"STAMFORD"</f>
        <v>STAMFORD</v>
      </c>
      <c r="F134" t="str">
        <f t="shared" si="12"/>
        <v>CT</v>
      </c>
      <c r="G134" t="str">
        <f>"06901"</f>
        <v>06901</v>
      </c>
      <c r="H134" t="str">
        <f>"2033880038"</f>
        <v>2033880038</v>
      </c>
      <c r="I134" t="str">
        <f t="shared" si="11"/>
        <v>ENGLISH;INTERPRETER AVAILABLE</v>
      </c>
    </row>
    <row r="135" spans="1:9" x14ac:dyDescent="0.3">
      <c r="A135" t="str">
        <f t="shared" si="13"/>
        <v>CONNECTICUT CVS PHARMACY, L.L.C.</v>
      </c>
      <c r="B135" t="str">
        <f t="shared" si="14"/>
        <v>Pharmacy</v>
      </c>
      <c r="C135" t="str">
        <f>"1221 MAIN ST"</f>
        <v>1221 MAIN ST</v>
      </c>
      <c r="D135" t="str">
        <f>""</f>
        <v/>
      </c>
      <c r="E135" t="str">
        <f>"MANCHESTER"</f>
        <v>MANCHESTER</v>
      </c>
      <c r="F135" t="str">
        <f t="shared" si="12"/>
        <v>CT</v>
      </c>
      <c r="G135" t="str">
        <f>"06040"</f>
        <v>06040</v>
      </c>
      <c r="H135" t="str">
        <f>"4017351080"</f>
        <v>4017351080</v>
      </c>
      <c r="I135" t="str">
        <f t="shared" ref="I135:I180" si="15">"ENGLISH"</f>
        <v>ENGLISH</v>
      </c>
    </row>
    <row r="136" spans="1:9" x14ac:dyDescent="0.3">
      <c r="A136" t="str">
        <f t="shared" si="13"/>
        <v>CONNECTICUT CVS PHARMACY, L.L.C.</v>
      </c>
      <c r="B136" t="str">
        <f t="shared" si="14"/>
        <v>Pharmacy</v>
      </c>
      <c r="C136" t="str">
        <f>"344 N MAIN ST"</f>
        <v>344 N MAIN ST</v>
      </c>
      <c r="D136" t="str">
        <f>""</f>
        <v/>
      </c>
      <c r="E136" t="str">
        <f>"WEST HARTFORD"</f>
        <v>WEST HARTFORD</v>
      </c>
      <c r="F136" t="str">
        <f t="shared" si="12"/>
        <v>CT</v>
      </c>
      <c r="G136" t="str">
        <f>"06117"</f>
        <v>06117</v>
      </c>
      <c r="H136" t="str">
        <f>"8602319573"</f>
        <v>8602319573</v>
      </c>
      <c r="I136" t="str">
        <f t="shared" si="15"/>
        <v>ENGLISH</v>
      </c>
    </row>
    <row r="137" spans="1:9" x14ac:dyDescent="0.3">
      <c r="A137" t="str">
        <f t="shared" si="13"/>
        <v>CONNECTICUT CVS PHARMACY, L.L.C.</v>
      </c>
      <c r="B137" t="str">
        <f t="shared" si="14"/>
        <v>Pharmacy</v>
      </c>
      <c r="C137" t="str">
        <f>"1938 WEST MAIN STREET"</f>
        <v>1938 WEST MAIN STREET</v>
      </c>
      <c r="D137" t="str">
        <f>""</f>
        <v/>
      </c>
      <c r="E137" t="str">
        <f>"STAMFORD"</f>
        <v>STAMFORD</v>
      </c>
      <c r="F137" t="str">
        <f t="shared" si="12"/>
        <v>CT</v>
      </c>
      <c r="G137" t="str">
        <f>"06902"</f>
        <v>06902</v>
      </c>
      <c r="H137" t="str">
        <f>"2033237864"</f>
        <v>2033237864</v>
      </c>
      <c r="I137" t="str">
        <f t="shared" si="15"/>
        <v>ENGLISH</v>
      </c>
    </row>
    <row r="138" spans="1:9" x14ac:dyDescent="0.3">
      <c r="A138" t="str">
        <f t="shared" si="13"/>
        <v>CONNECTICUT CVS PHARMACY, L.L.C.</v>
      </c>
      <c r="B138" t="str">
        <f t="shared" si="14"/>
        <v>Pharmacy</v>
      </c>
      <c r="C138" t="str">
        <f>"1245 DIXWELL AVE"</f>
        <v>1245 DIXWELL AVE</v>
      </c>
      <c r="D138" t="str">
        <f>""</f>
        <v/>
      </c>
      <c r="E138" t="str">
        <f>"HAMDEN"</f>
        <v>HAMDEN</v>
      </c>
      <c r="F138" t="str">
        <f t="shared" si="12"/>
        <v>CT</v>
      </c>
      <c r="G138" t="str">
        <f>"06514"</f>
        <v>06514</v>
      </c>
      <c r="H138" t="str">
        <f>"2032851123"</f>
        <v>2032851123</v>
      </c>
      <c r="I138" t="str">
        <f t="shared" si="15"/>
        <v>ENGLISH</v>
      </c>
    </row>
    <row r="139" spans="1:9" x14ac:dyDescent="0.3">
      <c r="A139" t="str">
        <f t="shared" si="13"/>
        <v>CONNECTICUT CVS PHARMACY, L.L.C.</v>
      </c>
      <c r="B139" t="str">
        <f t="shared" si="14"/>
        <v>Pharmacy</v>
      </c>
      <c r="C139" t="str">
        <f>"705 BRIDGEPORT AVE"</f>
        <v>705 BRIDGEPORT AVE</v>
      </c>
      <c r="D139" t="str">
        <f>""</f>
        <v/>
      </c>
      <c r="E139" t="str">
        <f>"SHELTON"</f>
        <v>SHELTON</v>
      </c>
      <c r="F139" t="str">
        <f t="shared" si="12"/>
        <v>CT</v>
      </c>
      <c r="G139" t="str">
        <f>"06484"</f>
        <v>06484</v>
      </c>
      <c r="H139" t="str">
        <f>"2034477013"</f>
        <v>2034477013</v>
      </c>
      <c r="I139" t="str">
        <f t="shared" si="15"/>
        <v>ENGLISH</v>
      </c>
    </row>
    <row r="140" spans="1:9" x14ac:dyDescent="0.3">
      <c r="A140" t="str">
        <f t="shared" si="13"/>
        <v>CONNECTICUT CVS PHARMACY, L.L.C.</v>
      </c>
      <c r="B140" t="str">
        <f t="shared" si="14"/>
        <v>Pharmacy</v>
      </c>
      <c r="C140" t="str">
        <f>"225 SOUND BEACH AVENUE"</f>
        <v>225 SOUND BEACH AVENUE</v>
      </c>
      <c r="D140" t="str">
        <f>""</f>
        <v/>
      </c>
      <c r="E140" t="str">
        <f>"OLD GREENWICH"</f>
        <v>OLD GREENWICH</v>
      </c>
      <c r="F140" t="str">
        <f t="shared" si="12"/>
        <v>CT</v>
      </c>
      <c r="G140" t="str">
        <f>"06870"</f>
        <v>06870</v>
      </c>
      <c r="H140" t="str">
        <f>"2036981457"</f>
        <v>2036981457</v>
      </c>
      <c r="I140" t="str">
        <f t="shared" si="15"/>
        <v>ENGLISH</v>
      </c>
    </row>
    <row r="141" spans="1:9" x14ac:dyDescent="0.3">
      <c r="A141" t="str">
        <f t="shared" si="13"/>
        <v>CONNECTICUT CVS PHARMACY, L.L.C.</v>
      </c>
      <c r="B141" t="str">
        <f t="shared" si="14"/>
        <v>Pharmacy</v>
      </c>
      <c r="C141" t="str">
        <f>"1057 BOSTON POST RD # 1"</f>
        <v>1057 BOSTON POST RD # 1</v>
      </c>
      <c r="D141" t="str">
        <f>""</f>
        <v/>
      </c>
      <c r="E141" t="str">
        <f>"GUILFORD"</f>
        <v>GUILFORD</v>
      </c>
      <c r="F141" t="str">
        <f t="shared" si="12"/>
        <v>CT</v>
      </c>
      <c r="G141" t="str">
        <f>"06437"</f>
        <v>06437</v>
      </c>
      <c r="H141" t="str">
        <f>"2034581444"</f>
        <v>2034581444</v>
      </c>
      <c r="I141" t="str">
        <f t="shared" si="15"/>
        <v>ENGLISH</v>
      </c>
    </row>
    <row r="142" spans="1:9" x14ac:dyDescent="0.3">
      <c r="A142" t="str">
        <f t="shared" si="13"/>
        <v>CONNECTICUT CVS PHARMACY, L.L.C.</v>
      </c>
      <c r="B142" t="str">
        <f t="shared" si="14"/>
        <v>Pharmacy</v>
      </c>
      <c r="C142" t="str">
        <f>"698 POST ROAD"</f>
        <v>698 POST ROAD</v>
      </c>
      <c r="D142" t="str">
        <f>""</f>
        <v/>
      </c>
      <c r="E142" t="str">
        <f>"FAIRFIELD"</f>
        <v>FAIRFIELD</v>
      </c>
      <c r="F142" t="str">
        <f t="shared" si="12"/>
        <v>CT</v>
      </c>
      <c r="G142" t="str">
        <f>"06824"</f>
        <v>06824</v>
      </c>
      <c r="H142" t="str">
        <f>"2032551089"</f>
        <v>2032551089</v>
      </c>
      <c r="I142" t="str">
        <f t="shared" si="15"/>
        <v>ENGLISH</v>
      </c>
    </row>
    <row r="143" spans="1:9" x14ac:dyDescent="0.3">
      <c r="A143" t="str">
        <f t="shared" si="13"/>
        <v>CONNECTICUT CVS PHARMACY, L.L.C.</v>
      </c>
      <c r="B143" t="str">
        <f t="shared" si="14"/>
        <v>Pharmacy</v>
      </c>
      <c r="C143" t="str">
        <f>"824 PARK AVE"</f>
        <v>824 PARK AVE</v>
      </c>
      <c r="D143" t="str">
        <f>"D/B/A CVS PHARMACY #01903"</f>
        <v>D/B/A CVS PHARMACY #01903</v>
      </c>
      <c r="E143" t="str">
        <f>"BLOOMFIELD"</f>
        <v>BLOOMFIELD</v>
      </c>
      <c r="F143" t="str">
        <f t="shared" si="12"/>
        <v>CT</v>
      </c>
      <c r="G143" t="str">
        <f>"06002"</f>
        <v>06002</v>
      </c>
      <c r="H143" t="str">
        <f>"8602431704"</f>
        <v>8602431704</v>
      </c>
      <c r="I143" t="str">
        <f t="shared" si="15"/>
        <v>ENGLISH</v>
      </c>
    </row>
    <row r="144" spans="1:9" x14ac:dyDescent="0.3">
      <c r="A144" t="str">
        <f t="shared" si="13"/>
        <v>CONNECTICUT CVS PHARMACY, L.L.C.</v>
      </c>
      <c r="B144" t="str">
        <f t="shared" si="14"/>
        <v>Pharmacy</v>
      </c>
      <c r="C144" t="str">
        <f>"1968 BLACK ROCK TURNPIKE"</f>
        <v>1968 BLACK ROCK TURNPIKE</v>
      </c>
      <c r="D144" t="str">
        <f>""</f>
        <v/>
      </c>
      <c r="E144" t="str">
        <f>"FAIRFIELD"</f>
        <v>FAIRFIELD</v>
      </c>
      <c r="F144" t="str">
        <f t="shared" si="12"/>
        <v>CT</v>
      </c>
      <c r="G144" t="str">
        <f>"06825"</f>
        <v>06825</v>
      </c>
      <c r="H144" t="str">
        <f>"2033668070"</f>
        <v>2033668070</v>
      </c>
      <c r="I144" t="str">
        <f t="shared" si="15"/>
        <v>ENGLISH</v>
      </c>
    </row>
    <row r="145" spans="1:9" x14ac:dyDescent="0.3">
      <c r="A145" t="str">
        <f t="shared" si="13"/>
        <v>CONNECTICUT CVS PHARMACY, L.L.C.</v>
      </c>
      <c r="B145" t="str">
        <f t="shared" si="14"/>
        <v>Pharmacy</v>
      </c>
      <c r="C145" t="str">
        <f>"511 MONROE TPKE"</f>
        <v>511 MONROE TPKE</v>
      </c>
      <c r="D145" t="str">
        <f>""</f>
        <v/>
      </c>
      <c r="E145" t="str">
        <f>"MONROE"</f>
        <v>MONROE</v>
      </c>
      <c r="F145" t="str">
        <f t="shared" si="12"/>
        <v>CT</v>
      </c>
      <c r="G145" t="str">
        <f>"06468"</f>
        <v>06468</v>
      </c>
      <c r="H145" t="str">
        <f>"2032611185"</f>
        <v>2032611185</v>
      </c>
      <c r="I145" t="str">
        <f t="shared" si="15"/>
        <v>ENGLISH</v>
      </c>
    </row>
    <row r="146" spans="1:9" x14ac:dyDescent="0.3">
      <c r="A146" t="str">
        <f t="shared" si="13"/>
        <v>CONNECTICUT CVS PHARMACY, L.L.C.</v>
      </c>
      <c r="B146" t="str">
        <f t="shared" si="14"/>
        <v>Pharmacy</v>
      </c>
      <c r="C146" t="str">
        <f>"519 BOSTON POST ROAD"</f>
        <v>519 BOSTON POST ROAD</v>
      </c>
      <c r="D146" t="str">
        <f>""</f>
        <v/>
      </c>
      <c r="E146" t="str">
        <f>"OLD SAYBROOK"</f>
        <v>OLD SAYBROOK</v>
      </c>
      <c r="F146" t="str">
        <f t="shared" si="12"/>
        <v>CT</v>
      </c>
      <c r="G146" t="str">
        <f>"06475"</f>
        <v>06475</v>
      </c>
      <c r="H146" t="str">
        <f>"8603881045"</f>
        <v>8603881045</v>
      </c>
      <c r="I146" t="str">
        <f t="shared" si="15"/>
        <v>ENGLISH</v>
      </c>
    </row>
    <row r="147" spans="1:9" x14ac:dyDescent="0.3">
      <c r="A147" t="str">
        <f t="shared" si="13"/>
        <v>CONNECTICUT CVS PHARMACY, L.L.C.</v>
      </c>
      <c r="B147" t="str">
        <f t="shared" si="14"/>
        <v>Pharmacy</v>
      </c>
      <c r="C147" t="str">
        <f>"163 MOUNTAIN ROAD"</f>
        <v>163 MOUNTAIN ROAD</v>
      </c>
      <c r="D147" t="str">
        <f>""</f>
        <v/>
      </c>
      <c r="E147" t="str">
        <f>"SUFFIELD"</f>
        <v>SUFFIELD</v>
      </c>
      <c r="F147" t="str">
        <f t="shared" si="12"/>
        <v>CT</v>
      </c>
      <c r="G147" t="str">
        <f>"06078"</f>
        <v>06078</v>
      </c>
      <c r="H147" t="str">
        <f>"8606685115"</f>
        <v>8606685115</v>
      </c>
      <c r="I147" t="str">
        <f t="shared" si="15"/>
        <v>ENGLISH</v>
      </c>
    </row>
    <row r="148" spans="1:9" x14ac:dyDescent="0.3">
      <c r="A148" t="str">
        <f t="shared" si="13"/>
        <v>CONNECTICUT CVS PHARMACY, L.L.C.</v>
      </c>
      <c r="B148" t="str">
        <f t="shared" si="14"/>
        <v>Pharmacy</v>
      </c>
      <c r="C148" t="str">
        <f>"1150 WHALLEY AVE"</f>
        <v>1150 WHALLEY AVE</v>
      </c>
      <c r="D148" t="str">
        <f>""</f>
        <v/>
      </c>
      <c r="E148" t="str">
        <f>"NEW HAVEN"</f>
        <v>NEW HAVEN</v>
      </c>
      <c r="F148" t="str">
        <f t="shared" si="12"/>
        <v>CT</v>
      </c>
      <c r="G148" t="str">
        <f>"06515"</f>
        <v>06515</v>
      </c>
      <c r="H148" t="str">
        <f>"2033894714"</f>
        <v>2033894714</v>
      </c>
      <c r="I148" t="str">
        <f t="shared" si="15"/>
        <v>ENGLISH</v>
      </c>
    </row>
    <row r="149" spans="1:9" x14ac:dyDescent="0.3">
      <c r="A149" t="str">
        <f t="shared" si="13"/>
        <v>CONNECTICUT CVS PHARMACY, L.L.C.</v>
      </c>
      <c r="B149" t="str">
        <f t="shared" si="14"/>
        <v>Pharmacy</v>
      </c>
      <c r="C149" t="str">
        <f>"1239 E PUTNAM AVE"</f>
        <v>1239 E PUTNAM AVE</v>
      </c>
      <c r="D149" t="str">
        <f>""</f>
        <v/>
      </c>
      <c r="E149" t="str">
        <f>"RIVERSIDE"</f>
        <v>RIVERSIDE</v>
      </c>
      <c r="F149" t="str">
        <f t="shared" si="12"/>
        <v>CT</v>
      </c>
      <c r="G149" t="str">
        <f>"06878"</f>
        <v>06878</v>
      </c>
      <c r="H149" t="str">
        <f>"2036984006"</f>
        <v>2036984006</v>
      </c>
      <c r="I149" t="str">
        <f t="shared" si="15"/>
        <v>ENGLISH</v>
      </c>
    </row>
    <row r="150" spans="1:9" x14ac:dyDescent="0.3">
      <c r="A150" t="str">
        <f t="shared" si="13"/>
        <v>CONNECTICUT CVS PHARMACY, L.L.C.</v>
      </c>
      <c r="B150" t="str">
        <f t="shared" si="14"/>
        <v>Pharmacy</v>
      </c>
      <c r="C150" t="str">
        <f>"1055 FARMINGTON AVENUE"</f>
        <v>1055 FARMINGTON AVENUE</v>
      </c>
      <c r="D150" t="str">
        <f>""</f>
        <v/>
      </c>
      <c r="E150" t="str">
        <f>"KENSINGTON"</f>
        <v>KENSINGTON</v>
      </c>
      <c r="F150" t="str">
        <f t="shared" si="12"/>
        <v>CT</v>
      </c>
      <c r="G150" t="str">
        <f>"06037"</f>
        <v>06037</v>
      </c>
      <c r="H150" t="str">
        <f>"8608286584"</f>
        <v>8608286584</v>
      </c>
      <c r="I150" t="str">
        <f t="shared" si="15"/>
        <v>ENGLISH</v>
      </c>
    </row>
    <row r="151" spans="1:9" x14ac:dyDescent="0.3">
      <c r="A151" t="str">
        <f t="shared" si="13"/>
        <v>CONNECTICUT CVS PHARMACY, L.L.C.</v>
      </c>
      <c r="B151" t="str">
        <f t="shared" si="14"/>
        <v>Pharmacy</v>
      </c>
      <c r="C151" t="str">
        <f>"219 BROAD STREET"</f>
        <v>219 BROAD STREET</v>
      </c>
      <c r="D151" t="str">
        <f>""</f>
        <v/>
      </c>
      <c r="E151" t="str">
        <f>"WINDSOR"</f>
        <v>WINDSOR</v>
      </c>
      <c r="F151" t="str">
        <f t="shared" si="12"/>
        <v>CT</v>
      </c>
      <c r="G151" t="str">
        <f>"06095"</f>
        <v>06095</v>
      </c>
      <c r="H151" t="str">
        <f>"8602985925"</f>
        <v>8602985925</v>
      </c>
      <c r="I151" t="str">
        <f t="shared" si="15"/>
        <v>ENGLISH</v>
      </c>
    </row>
    <row r="152" spans="1:9" x14ac:dyDescent="0.3">
      <c r="A152" t="str">
        <f t="shared" si="13"/>
        <v>CONNECTICUT CVS PHARMACY, L.L.C.</v>
      </c>
      <c r="B152" t="str">
        <f t="shared" si="14"/>
        <v>Pharmacy</v>
      </c>
      <c r="C152" t="str">
        <f>"323 CROMWELL AVENUE"</f>
        <v>323 CROMWELL AVENUE</v>
      </c>
      <c r="D152" t="str">
        <f>""</f>
        <v/>
      </c>
      <c r="E152" t="str">
        <f>"ROCKY HILL"</f>
        <v>ROCKY HILL</v>
      </c>
      <c r="F152" t="str">
        <f t="shared" si="12"/>
        <v>CT</v>
      </c>
      <c r="G152" t="str">
        <f>"06067"</f>
        <v>06067</v>
      </c>
      <c r="H152" t="str">
        <f>"8605639393"</f>
        <v>8605639393</v>
      </c>
      <c r="I152" t="str">
        <f t="shared" si="15"/>
        <v>ENGLISH</v>
      </c>
    </row>
    <row r="153" spans="1:9" x14ac:dyDescent="0.3">
      <c r="A153" t="str">
        <f t="shared" si="13"/>
        <v>CONNECTICUT CVS PHARMACY, L.L.C.</v>
      </c>
      <c r="B153" t="str">
        <f t="shared" si="14"/>
        <v>Pharmacy</v>
      </c>
      <c r="C153" t="str">
        <f>"3710 MAIN STREET"</f>
        <v>3710 MAIN STREET</v>
      </c>
      <c r="D153" t="str">
        <f>""</f>
        <v/>
      </c>
      <c r="E153" t="str">
        <f>"BRIDGEPORT"</f>
        <v>BRIDGEPORT</v>
      </c>
      <c r="F153" t="str">
        <f t="shared" si="12"/>
        <v>CT</v>
      </c>
      <c r="G153" t="str">
        <f>"06606"</f>
        <v>06606</v>
      </c>
      <c r="H153" t="str">
        <f>"2033711280"</f>
        <v>2033711280</v>
      </c>
      <c r="I153" t="str">
        <f t="shared" si="15"/>
        <v>ENGLISH</v>
      </c>
    </row>
    <row r="154" spans="1:9" x14ac:dyDescent="0.3">
      <c r="A154" t="str">
        <f t="shared" si="13"/>
        <v>CONNECTICUT CVS PHARMACY, L.L.C.</v>
      </c>
      <c r="B154" t="str">
        <f t="shared" si="14"/>
        <v>Pharmacy</v>
      </c>
      <c r="C154" t="str">
        <f>"526 MERIDEN ROAD"</f>
        <v>526 MERIDEN ROAD</v>
      </c>
      <c r="D154" t="str">
        <f>""</f>
        <v/>
      </c>
      <c r="E154" t="str">
        <f>"WATERBURY"</f>
        <v>WATERBURY</v>
      </c>
      <c r="F154" t="str">
        <f t="shared" si="12"/>
        <v>CT</v>
      </c>
      <c r="G154" t="str">
        <f>"06705"</f>
        <v>06705</v>
      </c>
      <c r="H154" t="str">
        <f>"2034657055"</f>
        <v>2034657055</v>
      </c>
      <c r="I154" t="str">
        <f t="shared" si="15"/>
        <v>ENGLISH</v>
      </c>
    </row>
    <row r="155" spans="1:9" x14ac:dyDescent="0.3">
      <c r="A155" t="str">
        <f t="shared" si="13"/>
        <v>CONNECTICUT CVS PHARMACY, L.L.C.</v>
      </c>
      <c r="B155" t="str">
        <f t="shared" si="14"/>
        <v>Pharmacy</v>
      </c>
      <c r="C155" t="str">
        <f>"2000 NORTH MAIN STREET"</f>
        <v>2000 NORTH MAIN STREET</v>
      </c>
      <c r="D155" t="str">
        <f>""</f>
        <v/>
      </c>
      <c r="E155" t="str">
        <f>"WATERBURY"</f>
        <v>WATERBURY</v>
      </c>
      <c r="F155" t="str">
        <f t="shared" si="12"/>
        <v>CT</v>
      </c>
      <c r="G155" t="str">
        <f>"06704"</f>
        <v>06704</v>
      </c>
      <c r="H155" t="str">
        <f>"2035913081"</f>
        <v>2035913081</v>
      </c>
      <c r="I155" t="str">
        <f t="shared" si="15"/>
        <v>ENGLISH</v>
      </c>
    </row>
    <row r="156" spans="1:9" x14ac:dyDescent="0.3">
      <c r="A156" t="str">
        <f t="shared" si="13"/>
        <v>CONNECTICUT CVS PHARMACY, L.L.C.</v>
      </c>
      <c r="B156" t="str">
        <f t="shared" si="14"/>
        <v>Pharmacy</v>
      </c>
      <c r="C156" t="str">
        <f>"1 HAWLEY LANE"</f>
        <v>1 HAWLEY LANE</v>
      </c>
      <c r="D156" t="str">
        <f>""</f>
        <v/>
      </c>
      <c r="E156" t="str">
        <f>"STRATFORD"</f>
        <v>STRATFORD</v>
      </c>
      <c r="F156" t="str">
        <f t="shared" si="12"/>
        <v>CT</v>
      </c>
      <c r="G156" t="str">
        <f>"06614"</f>
        <v>06614</v>
      </c>
      <c r="H156" t="str">
        <f>"2033837735"</f>
        <v>2033837735</v>
      </c>
      <c r="I156" t="str">
        <f t="shared" si="15"/>
        <v>ENGLISH</v>
      </c>
    </row>
    <row r="157" spans="1:9" x14ac:dyDescent="0.3">
      <c r="A157" t="str">
        <f t="shared" si="13"/>
        <v>CONNECTICUT CVS PHARMACY, L.L.C.</v>
      </c>
      <c r="B157" t="str">
        <f t="shared" si="14"/>
        <v>Pharmacy</v>
      </c>
      <c r="C157" t="str">
        <f>"241 MIDDLE TURNPIKE WEST"</f>
        <v>241 MIDDLE TURNPIKE WEST</v>
      </c>
      <c r="D157" t="str">
        <f>""</f>
        <v/>
      </c>
      <c r="E157" t="str">
        <f>"MANCHESTER"</f>
        <v>MANCHESTER</v>
      </c>
      <c r="F157" t="str">
        <f t="shared" ref="F157:F188" si="16">"CT"</f>
        <v>CT</v>
      </c>
      <c r="G157" t="str">
        <f>"06040"</f>
        <v>06040</v>
      </c>
      <c r="H157" t="str">
        <f>"8605331156"</f>
        <v>8605331156</v>
      </c>
      <c r="I157" t="str">
        <f t="shared" si="15"/>
        <v>ENGLISH</v>
      </c>
    </row>
    <row r="158" spans="1:9" x14ac:dyDescent="0.3">
      <c r="A158" t="str">
        <f t="shared" si="13"/>
        <v>CONNECTICUT CVS PHARMACY, L.L.C.</v>
      </c>
      <c r="B158" t="str">
        <f t="shared" si="14"/>
        <v>Pharmacy</v>
      </c>
      <c r="C158" t="str">
        <f>"989 BOSTON POST ROAD"</f>
        <v>989 BOSTON POST ROAD</v>
      </c>
      <c r="D158" t="str">
        <f>""</f>
        <v/>
      </c>
      <c r="E158" t="str">
        <f>"MILFORD"</f>
        <v>MILFORD</v>
      </c>
      <c r="F158" t="str">
        <f t="shared" si="16"/>
        <v>CT</v>
      </c>
      <c r="G158" t="str">
        <f>"06460"</f>
        <v>06460</v>
      </c>
      <c r="H158" t="str">
        <f>"8007467287"</f>
        <v>8007467287</v>
      </c>
      <c r="I158" t="str">
        <f t="shared" si="15"/>
        <v>ENGLISH</v>
      </c>
    </row>
    <row r="159" spans="1:9" x14ac:dyDescent="0.3">
      <c r="A159" t="str">
        <f t="shared" si="13"/>
        <v>CONNECTICUT CVS PHARMACY, L.L.C.</v>
      </c>
      <c r="B159" t="str">
        <f t="shared" si="14"/>
        <v>Pharmacy</v>
      </c>
      <c r="C159" t="str">
        <f>"766 NEW LONDON TURNPIKE"</f>
        <v>766 NEW LONDON TURNPIKE</v>
      </c>
      <c r="D159" t="str">
        <f>""</f>
        <v/>
      </c>
      <c r="E159" t="str">
        <f>"GLASONBURY"</f>
        <v>GLASONBURY</v>
      </c>
      <c r="F159" t="str">
        <f t="shared" si="16"/>
        <v>CT</v>
      </c>
      <c r="G159" t="str">
        <f>"06033"</f>
        <v>06033</v>
      </c>
      <c r="H159" t="str">
        <f>"8606334668"</f>
        <v>8606334668</v>
      </c>
      <c r="I159" t="str">
        <f t="shared" si="15"/>
        <v>ENGLISH</v>
      </c>
    </row>
    <row r="160" spans="1:9" x14ac:dyDescent="0.3">
      <c r="A160" t="str">
        <f t="shared" si="13"/>
        <v>CONNECTICUT CVS PHARMACY, L.L.C.</v>
      </c>
      <c r="B160" t="str">
        <f t="shared" si="14"/>
        <v>Pharmacy</v>
      </c>
      <c r="C160" t="str">
        <f>"1425 BARNUM AVENUE"</f>
        <v>1425 BARNUM AVENUE</v>
      </c>
      <c r="D160" t="str">
        <f>""</f>
        <v/>
      </c>
      <c r="E160" t="str">
        <f>"STRATFORD"</f>
        <v>STRATFORD</v>
      </c>
      <c r="F160" t="str">
        <f t="shared" si="16"/>
        <v>CT</v>
      </c>
      <c r="G160" t="str">
        <f>"06614"</f>
        <v>06614</v>
      </c>
      <c r="H160" t="str">
        <f>"2033837741"</f>
        <v>2033837741</v>
      </c>
      <c r="I160" t="str">
        <f t="shared" si="15"/>
        <v>ENGLISH</v>
      </c>
    </row>
    <row r="161" spans="1:9" x14ac:dyDescent="0.3">
      <c r="A161" t="str">
        <f t="shared" si="13"/>
        <v>CONNECTICUT CVS PHARMACY, L.L.C.</v>
      </c>
      <c r="B161" t="str">
        <f t="shared" si="14"/>
        <v>Pharmacy</v>
      </c>
      <c r="C161" t="str">
        <f>"119 SOUTH MAIN STREET"</f>
        <v>119 SOUTH MAIN STREET</v>
      </c>
      <c r="D161" t="str">
        <f>""</f>
        <v/>
      </c>
      <c r="E161" t="str">
        <f>"COLCHESTER"</f>
        <v>COLCHESTER</v>
      </c>
      <c r="F161" t="str">
        <f t="shared" si="16"/>
        <v>CT</v>
      </c>
      <c r="G161" t="str">
        <f>"06415"</f>
        <v>06415</v>
      </c>
      <c r="H161" t="str">
        <f>"8605370711"</f>
        <v>8605370711</v>
      </c>
      <c r="I161" t="str">
        <f t="shared" si="15"/>
        <v>ENGLISH</v>
      </c>
    </row>
    <row r="162" spans="1:9" x14ac:dyDescent="0.3">
      <c r="A162" t="str">
        <f t="shared" ref="A162:A193" si="17">"CONNECTICUT CVS PHARMACY, L.L.C."</f>
        <v>CONNECTICUT CVS PHARMACY, L.L.C.</v>
      </c>
      <c r="B162" t="str">
        <f t="shared" si="14"/>
        <v>Pharmacy</v>
      </c>
      <c r="C162" t="str">
        <f>"72 BERLIN RD"</f>
        <v>72 BERLIN RD</v>
      </c>
      <c r="D162" t="str">
        <f>""</f>
        <v/>
      </c>
      <c r="E162" t="str">
        <f>"CROMWELL"</f>
        <v>CROMWELL</v>
      </c>
      <c r="F162" t="str">
        <f t="shared" si="16"/>
        <v>CT</v>
      </c>
      <c r="G162" t="str">
        <f>"06416"</f>
        <v>06416</v>
      </c>
      <c r="H162" t="str">
        <f>"8606130499"</f>
        <v>8606130499</v>
      </c>
      <c r="I162" t="str">
        <f t="shared" si="15"/>
        <v>ENGLISH</v>
      </c>
    </row>
    <row r="163" spans="1:9" x14ac:dyDescent="0.3">
      <c r="A163" t="str">
        <f t="shared" si="17"/>
        <v>CONNECTICUT CVS PHARMACY, L.L.C.</v>
      </c>
      <c r="B163" t="str">
        <f t="shared" si="14"/>
        <v>Pharmacy</v>
      </c>
      <c r="C163" t="str">
        <f>"15 CHESTERFIELD ROAD"</f>
        <v>15 CHESTERFIELD ROAD</v>
      </c>
      <c r="D163" t="str">
        <f>""</f>
        <v/>
      </c>
      <c r="E163" t="str">
        <f>"EAST LYME"</f>
        <v>EAST LYME</v>
      </c>
      <c r="F163" t="str">
        <f t="shared" si="16"/>
        <v>CT</v>
      </c>
      <c r="G163" t="str">
        <f>"06333"</f>
        <v>06333</v>
      </c>
      <c r="H163" t="str">
        <f>"8607390276"</f>
        <v>8607390276</v>
      </c>
      <c r="I163" t="str">
        <f t="shared" si="15"/>
        <v>ENGLISH</v>
      </c>
    </row>
    <row r="164" spans="1:9" x14ac:dyDescent="0.3">
      <c r="A164" t="str">
        <f t="shared" si="17"/>
        <v>CONNECTICUT CVS PHARMACY, L.L.C.</v>
      </c>
      <c r="B164" t="str">
        <f t="shared" si="14"/>
        <v>Pharmacy</v>
      </c>
      <c r="C164" t="str">
        <f>"2005 NORWICH-NEW LONDON TPKE"</f>
        <v>2005 NORWICH-NEW LONDON TPKE</v>
      </c>
      <c r="D164" t="str">
        <f>""</f>
        <v/>
      </c>
      <c r="E164" t="str">
        <f>"UNCASVILLE"</f>
        <v>UNCASVILLE</v>
      </c>
      <c r="F164" t="str">
        <f t="shared" si="16"/>
        <v>CT</v>
      </c>
      <c r="G164" t="str">
        <f>"06382"</f>
        <v>06382</v>
      </c>
      <c r="H164" t="str">
        <f>"8608483202"</f>
        <v>8608483202</v>
      </c>
      <c r="I164" t="str">
        <f t="shared" si="15"/>
        <v>ENGLISH</v>
      </c>
    </row>
    <row r="165" spans="1:9" x14ac:dyDescent="0.3">
      <c r="A165" t="str">
        <f t="shared" si="17"/>
        <v>CONNECTICUT CVS PHARMACY, L.L.C.</v>
      </c>
      <c r="B165" t="str">
        <f t="shared" si="14"/>
        <v>Pharmacy</v>
      </c>
      <c r="C165" t="str">
        <f>"35 PADANARAM RD"</f>
        <v>35 PADANARAM RD</v>
      </c>
      <c r="D165" t="str">
        <f>""</f>
        <v/>
      </c>
      <c r="E165" t="str">
        <f>"DANBURY"</f>
        <v>DANBURY</v>
      </c>
      <c r="F165" t="str">
        <f t="shared" si="16"/>
        <v>CT</v>
      </c>
      <c r="G165" t="str">
        <f>"06811"</f>
        <v>06811</v>
      </c>
      <c r="H165" t="str">
        <f>"2037304870"</f>
        <v>2037304870</v>
      </c>
      <c r="I165" t="str">
        <f t="shared" si="15"/>
        <v>ENGLISH</v>
      </c>
    </row>
    <row r="166" spans="1:9" x14ac:dyDescent="0.3">
      <c r="A166" t="str">
        <f t="shared" si="17"/>
        <v>CONNECTICUT CVS PHARMACY, L.L.C.</v>
      </c>
      <c r="B166" t="str">
        <f t="shared" si="14"/>
        <v>Pharmacy</v>
      </c>
      <c r="C166" t="str">
        <f>"215 WEST STREET"</f>
        <v>215 WEST STREET</v>
      </c>
      <c r="D166" t="str">
        <f>""</f>
        <v/>
      </c>
      <c r="E166" t="str">
        <f>"SEYMOUR"</f>
        <v>SEYMOUR</v>
      </c>
      <c r="F166" t="str">
        <f t="shared" si="16"/>
        <v>CT</v>
      </c>
      <c r="G166" t="str">
        <f>"06483"</f>
        <v>06483</v>
      </c>
      <c r="H166" t="str">
        <f>"2038889068"</f>
        <v>2038889068</v>
      </c>
      <c r="I166" t="str">
        <f t="shared" si="15"/>
        <v>ENGLISH</v>
      </c>
    </row>
    <row r="167" spans="1:9" x14ac:dyDescent="0.3">
      <c r="A167" t="str">
        <f t="shared" si="17"/>
        <v>CONNECTICUT CVS PHARMACY, L.L.C.</v>
      </c>
      <c r="B167" t="str">
        <f t="shared" si="14"/>
        <v>Pharmacy</v>
      </c>
      <c r="C167" t="str">
        <f>"14 CANDLEWOOD LAKE ROAD"</f>
        <v>14 CANDLEWOOD LAKE ROAD</v>
      </c>
      <c r="D167" t="str">
        <f>""</f>
        <v/>
      </c>
      <c r="E167" t="str">
        <f>"BROOKFIELD"</f>
        <v>BROOKFIELD</v>
      </c>
      <c r="F167" t="str">
        <f t="shared" si="16"/>
        <v>CT</v>
      </c>
      <c r="G167" t="str">
        <f>"06804"</f>
        <v>06804</v>
      </c>
      <c r="H167" t="str">
        <f>"2037759593"</f>
        <v>2037759593</v>
      </c>
      <c r="I167" t="str">
        <f t="shared" si="15"/>
        <v>ENGLISH</v>
      </c>
    </row>
    <row r="168" spans="1:9" x14ac:dyDescent="0.3">
      <c r="A168" t="str">
        <f t="shared" si="17"/>
        <v>CONNECTICUT CVS PHARMACY, L.L.C.</v>
      </c>
      <c r="B168" t="str">
        <f t="shared" si="14"/>
        <v>Pharmacy</v>
      </c>
      <c r="C168" t="str">
        <f>"839 FARMINGTON AVENUE"</f>
        <v>839 FARMINGTON AVENUE</v>
      </c>
      <c r="D168" t="str">
        <f>"RTE 6, BRISTOL S/C"</f>
        <v>RTE 6, BRISTOL S/C</v>
      </c>
      <c r="E168" t="str">
        <f>"BRISTOL"</f>
        <v>BRISTOL</v>
      </c>
      <c r="F168" t="str">
        <f t="shared" si="16"/>
        <v>CT</v>
      </c>
      <c r="G168" t="str">
        <f>"06010"</f>
        <v>06010</v>
      </c>
      <c r="H168" t="str">
        <f>"8605828167"</f>
        <v>8605828167</v>
      </c>
      <c r="I168" t="str">
        <f t="shared" si="15"/>
        <v>ENGLISH</v>
      </c>
    </row>
    <row r="169" spans="1:9" x14ac:dyDescent="0.3">
      <c r="A169" t="str">
        <f t="shared" si="17"/>
        <v>CONNECTICUT CVS PHARMACY, L.L.C.</v>
      </c>
      <c r="B169" t="str">
        <f t="shared" si="14"/>
        <v>Pharmacy</v>
      </c>
      <c r="C169" t="str">
        <f>"484 WINSOR AVENUE"</f>
        <v>484 WINSOR AVENUE</v>
      </c>
      <c r="D169" t="str">
        <f>""</f>
        <v/>
      </c>
      <c r="E169" t="str">
        <f>"WINDSOR"</f>
        <v>WINDSOR</v>
      </c>
      <c r="F169" t="str">
        <f t="shared" si="16"/>
        <v>CT</v>
      </c>
      <c r="G169" t="str">
        <f>"06095"</f>
        <v>06095</v>
      </c>
      <c r="H169" t="str">
        <f>"8609475078"</f>
        <v>8609475078</v>
      </c>
      <c r="I169" t="str">
        <f t="shared" si="15"/>
        <v>ENGLISH</v>
      </c>
    </row>
    <row r="170" spans="1:9" x14ac:dyDescent="0.3">
      <c r="A170" t="str">
        <f t="shared" si="17"/>
        <v>CONNECTICUT CVS PHARMACY, L.L.C.</v>
      </c>
      <c r="B170" t="str">
        <f t="shared" si="14"/>
        <v>Pharmacy</v>
      </c>
      <c r="C170" t="str">
        <f>"308 MAIN STREET EXT"</f>
        <v>308 MAIN STREET EXT</v>
      </c>
      <c r="D170" t="str">
        <f>""</f>
        <v/>
      </c>
      <c r="E170" t="str">
        <f>"MIDDLETOWN"</f>
        <v>MIDDLETOWN</v>
      </c>
      <c r="F170" t="str">
        <f t="shared" si="16"/>
        <v>CT</v>
      </c>
      <c r="G170" t="str">
        <f>"06457"</f>
        <v>06457</v>
      </c>
      <c r="H170" t="str">
        <f>"8603441857"</f>
        <v>8603441857</v>
      </c>
      <c r="I170" t="str">
        <f t="shared" si="15"/>
        <v>ENGLISH</v>
      </c>
    </row>
    <row r="171" spans="1:9" x14ac:dyDescent="0.3">
      <c r="A171" t="str">
        <f t="shared" si="17"/>
        <v>CONNECTICUT CVS PHARMACY, L.L.C.</v>
      </c>
      <c r="B171" t="str">
        <f t="shared" si="14"/>
        <v>Pharmacy</v>
      </c>
      <c r="C171" t="str">
        <f>"613 BOSTON POST RD"</f>
        <v>613 BOSTON POST RD</v>
      </c>
      <c r="D171" t="str">
        <f>""</f>
        <v/>
      </c>
      <c r="E171" t="str">
        <f>"MADISON"</f>
        <v>MADISON</v>
      </c>
      <c r="F171" t="str">
        <f t="shared" si="16"/>
        <v>CT</v>
      </c>
      <c r="G171" t="str">
        <f>"06443"</f>
        <v>06443</v>
      </c>
      <c r="H171" t="str">
        <f>"2032453165"</f>
        <v>2032453165</v>
      </c>
      <c r="I171" t="str">
        <f t="shared" si="15"/>
        <v>ENGLISH</v>
      </c>
    </row>
    <row r="172" spans="1:9" x14ac:dyDescent="0.3">
      <c r="A172" t="str">
        <f t="shared" si="17"/>
        <v>CONNECTICUT CVS PHARMACY, L.L.C.</v>
      </c>
      <c r="B172" t="str">
        <f t="shared" si="14"/>
        <v>Pharmacy</v>
      </c>
      <c r="C172" t="str">
        <f>"2639 MAIN STREET"</f>
        <v>2639 MAIN STREET</v>
      </c>
      <c r="D172" t="str">
        <f>""</f>
        <v/>
      </c>
      <c r="E172" t="str">
        <f>"GLASTONBURY"</f>
        <v>GLASTONBURY</v>
      </c>
      <c r="F172" t="str">
        <f t="shared" si="16"/>
        <v>CT</v>
      </c>
      <c r="G172" t="str">
        <f>"06033"</f>
        <v>06033</v>
      </c>
      <c r="H172" t="str">
        <f>"8606591329"</f>
        <v>8606591329</v>
      </c>
      <c r="I172" t="str">
        <f t="shared" si="15"/>
        <v>ENGLISH</v>
      </c>
    </row>
    <row r="173" spans="1:9" x14ac:dyDescent="0.3">
      <c r="A173" t="str">
        <f t="shared" si="17"/>
        <v>CONNECTICUT CVS PHARMACY, L.L.C.</v>
      </c>
      <c r="B173" t="str">
        <f t="shared" si="14"/>
        <v>Pharmacy</v>
      </c>
      <c r="C173" t="str">
        <f>"397 POST ROAD EAST"</f>
        <v>397 POST ROAD EAST</v>
      </c>
      <c r="D173" t="str">
        <f>""</f>
        <v/>
      </c>
      <c r="E173" t="str">
        <f>"WESTPORT"</f>
        <v>WESTPORT</v>
      </c>
      <c r="F173" t="str">
        <f t="shared" si="16"/>
        <v>CT</v>
      </c>
      <c r="G173" t="str">
        <f>"06880"</f>
        <v>06880</v>
      </c>
      <c r="H173" t="str">
        <f>"2032277343"</f>
        <v>2032277343</v>
      </c>
      <c r="I173" t="str">
        <f t="shared" si="15"/>
        <v>ENGLISH</v>
      </c>
    </row>
    <row r="174" spans="1:9" x14ac:dyDescent="0.3">
      <c r="A174" t="str">
        <f t="shared" si="17"/>
        <v>CONNECTICUT CVS PHARMACY, L.L.C.</v>
      </c>
      <c r="B174" t="str">
        <f t="shared" si="14"/>
        <v>Pharmacy</v>
      </c>
      <c r="C174" t="str">
        <f>"1099 NEW BRITAIN AVENUE"</f>
        <v>1099 NEW BRITAIN AVENUE</v>
      </c>
      <c r="D174" t="str">
        <f>""</f>
        <v/>
      </c>
      <c r="E174" t="str">
        <f>"WEST HARTFORD"</f>
        <v>WEST HARTFORD</v>
      </c>
      <c r="F174" t="str">
        <f t="shared" si="16"/>
        <v>CT</v>
      </c>
      <c r="G174" t="str">
        <f>"06110"</f>
        <v>06110</v>
      </c>
      <c r="H174" t="str">
        <f>"8602311365"</f>
        <v>8602311365</v>
      </c>
      <c r="I174" t="str">
        <f t="shared" si="15"/>
        <v>ENGLISH</v>
      </c>
    </row>
    <row r="175" spans="1:9" x14ac:dyDescent="0.3">
      <c r="A175" t="str">
        <f t="shared" si="17"/>
        <v>CONNECTICUT CVS PHARMACY, L.L.C.</v>
      </c>
      <c r="B175" t="str">
        <f t="shared" si="14"/>
        <v>Pharmacy</v>
      </c>
      <c r="C175" t="str">
        <f>"1181 MAIN STREET"</f>
        <v>1181 MAIN STREET</v>
      </c>
      <c r="D175" t="str">
        <f>""</f>
        <v/>
      </c>
      <c r="E175" t="str">
        <f>"NEWINGTON"</f>
        <v>NEWINGTON</v>
      </c>
      <c r="F175" t="str">
        <f t="shared" si="16"/>
        <v>CT</v>
      </c>
      <c r="G175" t="str">
        <f>"06111"</f>
        <v>06111</v>
      </c>
      <c r="H175" t="str">
        <f>"8606671888"</f>
        <v>8606671888</v>
      </c>
      <c r="I175" t="str">
        <f t="shared" si="15"/>
        <v>ENGLISH</v>
      </c>
    </row>
    <row r="176" spans="1:9" x14ac:dyDescent="0.3">
      <c r="A176" t="str">
        <f t="shared" si="17"/>
        <v>CONNECTICUT CVS PHARMACY, L.L.C.</v>
      </c>
      <c r="B176" t="str">
        <f t="shared" si="14"/>
        <v>Pharmacy</v>
      </c>
      <c r="C176" t="str">
        <f>"162 WASHINGTON AVENUE"</f>
        <v>162 WASHINGTON AVENUE</v>
      </c>
      <c r="D176" t="str">
        <f>""</f>
        <v/>
      </c>
      <c r="E176" t="str">
        <f>"NORTH HAVEN"</f>
        <v>NORTH HAVEN</v>
      </c>
      <c r="F176" t="str">
        <f t="shared" si="16"/>
        <v>CT</v>
      </c>
      <c r="G176" t="str">
        <f>"06473"</f>
        <v>06473</v>
      </c>
      <c r="H176" t="str">
        <f>"2032394071"</f>
        <v>2032394071</v>
      </c>
      <c r="I176" t="str">
        <f t="shared" si="15"/>
        <v>ENGLISH</v>
      </c>
    </row>
    <row r="177" spans="1:9" x14ac:dyDescent="0.3">
      <c r="A177" t="str">
        <f t="shared" si="17"/>
        <v>CONNECTICUT CVS PHARMACY, L.L.C.</v>
      </c>
      <c r="B177" t="str">
        <f t="shared" si="14"/>
        <v>Pharmacy</v>
      </c>
      <c r="C177" t="str">
        <f>"24-36 PERSHING DRIVE"</f>
        <v>24-36 PERSHING DRIVE</v>
      </c>
      <c r="D177" t="str">
        <f>""</f>
        <v/>
      </c>
      <c r="E177" t="str">
        <f>"ANSONIA"</f>
        <v>ANSONIA</v>
      </c>
      <c r="F177" t="str">
        <f t="shared" si="16"/>
        <v>CT</v>
      </c>
      <c r="G177" t="str">
        <f>"06401"</f>
        <v>06401</v>
      </c>
      <c r="H177" t="str">
        <f>"2037357837"</f>
        <v>2037357837</v>
      </c>
      <c r="I177" t="str">
        <f t="shared" si="15"/>
        <v>ENGLISH</v>
      </c>
    </row>
    <row r="178" spans="1:9" x14ac:dyDescent="0.3">
      <c r="A178" t="str">
        <f t="shared" si="17"/>
        <v>CONNECTICUT CVS PHARMACY, L.L.C.</v>
      </c>
      <c r="B178" t="str">
        <f t="shared" si="14"/>
        <v>Pharmacy</v>
      </c>
      <c r="C178" t="str">
        <f>"467 MAIN STREET"</f>
        <v>467 MAIN STREET</v>
      </c>
      <c r="D178" t="str">
        <f>""</f>
        <v/>
      </c>
      <c r="E178" t="str">
        <f>"RIDGEFIELD"</f>
        <v>RIDGEFIELD</v>
      </c>
      <c r="F178" t="str">
        <f t="shared" si="16"/>
        <v>CT</v>
      </c>
      <c r="G178" t="str">
        <f>"06877"</f>
        <v>06877</v>
      </c>
      <c r="H178" t="str">
        <f>"2034318888"</f>
        <v>2034318888</v>
      </c>
      <c r="I178" t="str">
        <f t="shared" si="15"/>
        <v>ENGLISH</v>
      </c>
    </row>
    <row r="179" spans="1:9" x14ac:dyDescent="0.3">
      <c r="A179" t="str">
        <f t="shared" si="17"/>
        <v>CONNECTICUT CVS PHARMACY, L.L.C.</v>
      </c>
      <c r="B179" t="str">
        <f t="shared" si="14"/>
        <v>Pharmacy</v>
      </c>
      <c r="C179" t="str">
        <f>"875 ENFIELD STREET"</f>
        <v>875 ENFIELD STREET</v>
      </c>
      <c r="D179" t="str">
        <f>""</f>
        <v/>
      </c>
      <c r="E179" t="str">
        <f>"ENFIELD"</f>
        <v>ENFIELD</v>
      </c>
      <c r="F179" t="str">
        <f t="shared" si="16"/>
        <v>CT</v>
      </c>
      <c r="G179" t="str">
        <f>"06082"</f>
        <v>06082</v>
      </c>
      <c r="H179" t="str">
        <f>"8607413014"</f>
        <v>8607413014</v>
      </c>
      <c r="I179" t="str">
        <f t="shared" si="15"/>
        <v>ENGLISH</v>
      </c>
    </row>
    <row r="180" spans="1:9" x14ac:dyDescent="0.3">
      <c r="A180" t="str">
        <f t="shared" si="17"/>
        <v>CONNECTICUT CVS PHARMACY, L.L.C.</v>
      </c>
      <c r="B180" t="str">
        <f t="shared" si="14"/>
        <v>Pharmacy</v>
      </c>
      <c r="C180" t="str">
        <f>"713 WEST MAIN STREET"</f>
        <v>713 WEST MAIN STREET</v>
      </c>
      <c r="D180" t="str">
        <f>""</f>
        <v/>
      </c>
      <c r="E180" t="str">
        <f>"NEW BRITAIN"</f>
        <v>NEW BRITAIN</v>
      </c>
      <c r="F180" t="str">
        <f t="shared" si="16"/>
        <v>CT</v>
      </c>
      <c r="G180" t="str">
        <f>"06053"</f>
        <v>06053</v>
      </c>
      <c r="H180" t="str">
        <f>"8602243494"</f>
        <v>8602243494</v>
      </c>
      <c r="I180" t="str">
        <f t="shared" si="15"/>
        <v>ENGLISH</v>
      </c>
    </row>
    <row r="181" spans="1:9" x14ac:dyDescent="0.3">
      <c r="A181" t="str">
        <f t="shared" si="17"/>
        <v>CONNECTICUT CVS PHARMACY, L.L.C.</v>
      </c>
      <c r="B181" t="str">
        <f t="shared" si="14"/>
        <v>Pharmacy</v>
      </c>
      <c r="C181" t="str">
        <f>"2045 DIXWELL AVE"</f>
        <v>2045 DIXWELL AVE</v>
      </c>
      <c r="D181" t="str">
        <f>""</f>
        <v/>
      </c>
      <c r="E181" t="str">
        <f>"HAMDEN"</f>
        <v>HAMDEN</v>
      </c>
      <c r="F181" t="str">
        <f t="shared" si="16"/>
        <v>CT</v>
      </c>
      <c r="G181" t="str">
        <f>"06514"</f>
        <v>06514</v>
      </c>
      <c r="H181" t="str">
        <f>"2032870835"</f>
        <v>2032870835</v>
      </c>
      <c r="I181" t="str">
        <f>"ENGLISH;INTERPRETER AVAILABLE"</f>
        <v>ENGLISH;INTERPRETER AVAILABLE</v>
      </c>
    </row>
    <row r="182" spans="1:9" x14ac:dyDescent="0.3">
      <c r="A182" t="str">
        <f t="shared" si="17"/>
        <v>CONNECTICUT CVS PHARMACY, L.L.C.</v>
      </c>
      <c r="B182" t="str">
        <f t="shared" si="14"/>
        <v>Pharmacy</v>
      </c>
      <c r="C182" t="str">
        <f>"908-910 MAPLE AVENUE"</f>
        <v>908-910 MAPLE AVENUE</v>
      </c>
      <c r="D182" t="str">
        <f>""</f>
        <v/>
      </c>
      <c r="E182" t="str">
        <f>"HARTFORD"</f>
        <v>HARTFORD</v>
      </c>
      <c r="F182" t="str">
        <f t="shared" si="16"/>
        <v>CT</v>
      </c>
      <c r="G182" t="str">
        <f>"06114"</f>
        <v>06114</v>
      </c>
      <c r="H182" t="str">
        <f>"8609567107"</f>
        <v>8609567107</v>
      </c>
      <c r="I182" t="str">
        <f t="shared" ref="I182:I201" si="18">"ENGLISH"</f>
        <v>ENGLISH</v>
      </c>
    </row>
    <row r="183" spans="1:9" x14ac:dyDescent="0.3">
      <c r="A183" t="str">
        <f t="shared" si="17"/>
        <v>CONNECTICUT CVS PHARMACY, L.L.C.</v>
      </c>
      <c r="B183" t="str">
        <f t="shared" si="14"/>
        <v>Pharmacy</v>
      </c>
      <c r="C183" t="str">
        <f>"14 FARMINGTON AVENUE"</f>
        <v>14 FARMINGTON AVENUE</v>
      </c>
      <c r="D183" t="str">
        <f>""</f>
        <v/>
      </c>
      <c r="E183" t="str">
        <f>"PLAINVILLE"</f>
        <v>PLAINVILLE</v>
      </c>
      <c r="F183" t="str">
        <f t="shared" si="16"/>
        <v>CT</v>
      </c>
      <c r="G183" t="str">
        <f>"06062"</f>
        <v>06062</v>
      </c>
      <c r="H183" t="str">
        <f>"8607939248"</f>
        <v>8607939248</v>
      </c>
      <c r="I183" t="str">
        <f t="shared" si="18"/>
        <v>ENGLISH</v>
      </c>
    </row>
    <row r="184" spans="1:9" x14ac:dyDescent="0.3">
      <c r="A184" t="str">
        <f t="shared" si="17"/>
        <v>CONNECTICUT CVS PHARMACY, L.L.C.</v>
      </c>
      <c r="B184" t="str">
        <f t="shared" si="14"/>
        <v>Pharmacy</v>
      </c>
      <c r="C184" t="str">
        <f>"26 DAVIS STREET"</f>
        <v>26 DAVIS STREET</v>
      </c>
      <c r="D184" t="str">
        <f>""</f>
        <v/>
      </c>
      <c r="E184" t="str">
        <f>"OAKVILLE"</f>
        <v>OAKVILLE</v>
      </c>
      <c r="F184" t="str">
        <f t="shared" si="16"/>
        <v>CT</v>
      </c>
      <c r="G184" t="str">
        <f>"06779"</f>
        <v>06779</v>
      </c>
      <c r="H184" t="str">
        <f>"8609453390"</f>
        <v>8609453390</v>
      </c>
      <c r="I184" t="str">
        <f t="shared" si="18"/>
        <v>ENGLISH</v>
      </c>
    </row>
    <row r="185" spans="1:9" x14ac:dyDescent="0.3">
      <c r="A185" t="str">
        <f t="shared" si="17"/>
        <v>CONNECTICUT CVS PHARMACY, L.L.C.</v>
      </c>
      <c r="B185" t="str">
        <f t="shared" si="14"/>
        <v>Pharmacy</v>
      </c>
      <c r="C185" t="str">
        <f>"844 JONES HILL ROAD"</f>
        <v>844 JONES HILL ROAD</v>
      </c>
      <c r="D185" t="str">
        <f>""</f>
        <v/>
      </c>
      <c r="E185" t="str">
        <f>"WEST HAVEN"</f>
        <v>WEST HAVEN</v>
      </c>
      <c r="F185" t="str">
        <f t="shared" si="16"/>
        <v>CT</v>
      </c>
      <c r="G185" t="str">
        <f>"06516"</f>
        <v>06516</v>
      </c>
      <c r="H185" t="str">
        <f>"2039335499"</f>
        <v>2039335499</v>
      </c>
      <c r="I185" t="str">
        <f t="shared" si="18"/>
        <v>ENGLISH</v>
      </c>
    </row>
    <row r="186" spans="1:9" x14ac:dyDescent="0.3">
      <c r="A186" t="str">
        <f t="shared" si="17"/>
        <v>CONNECTICUT CVS PHARMACY, L.L.C.</v>
      </c>
      <c r="B186" t="str">
        <f t="shared" si="14"/>
        <v>Pharmacy</v>
      </c>
      <c r="C186" t="str">
        <f>"372 WEST MAIN STREET"</f>
        <v>372 WEST MAIN STREET</v>
      </c>
      <c r="D186" t="str">
        <f>""</f>
        <v/>
      </c>
      <c r="E186" t="str">
        <f>"NORWICH"</f>
        <v>NORWICH</v>
      </c>
      <c r="F186" t="str">
        <f t="shared" si="16"/>
        <v>CT</v>
      </c>
      <c r="G186" t="str">
        <f>"06360"</f>
        <v>06360</v>
      </c>
      <c r="H186" t="str">
        <f>"8608875970"</f>
        <v>8608875970</v>
      </c>
      <c r="I186" t="str">
        <f t="shared" si="18"/>
        <v>ENGLISH</v>
      </c>
    </row>
    <row r="187" spans="1:9" x14ac:dyDescent="0.3">
      <c r="A187" t="str">
        <f t="shared" si="17"/>
        <v>CONNECTICUT CVS PHARMACY, L.L.C.</v>
      </c>
      <c r="B187" t="str">
        <f t="shared" si="14"/>
        <v>Pharmacy</v>
      </c>
      <c r="C187" t="str">
        <f>"1044 BOULEVARD"</f>
        <v>1044 BOULEVARD</v>
      </c>
      <c r="D187" t="str">
        <f>""</f>
        <v/>
      </c>
      <c r="E187" t="str">
        <f>"WEST HARTFORD"</f>
        <v>WEST HARTFORD</v>
      </c>
      <c r="F187" t="str">
        <f t="shared" si="16"/>
        <v>CT</v>
      </c>
      <c r="G187" t="str">
        <f>"06119"</f>
        <v>06119</v>
      </c>
      <c r="H187" t="str">
        <f>"8602369348"</f>
        <v>8602369348</v>
      </c>
      <c r="I187" t="str">
        <f t="shared" si="18"/>
        <v>ENGLISH</v>
      </c>
    </row>
    <row r="188" spans="1:9" x14ac:dyDescent="0.3">
      <c r="A188" t="str">
        <f t="shared" si="17"/>
        <v>CONNECTICUT CVS PHARMACY, L.L.C.</v>
      </c>
      <c r="B188" t="str">
        <f t="shared" si="14"/>
        <v>Pharmacy</v>
      </c>
      <c r="C188" t="str">
        <f>"656 NEW HAVEN AVENUE"</f>
        <v>656 NEW HAVEN AVENUE</v>
      </c>
      <c r="D188" t="str">
        <f>""</f>
        <v/>
      </c>
      <c r="E188" t="str">
        <f>"DERBY"</f>
        <v>DERBY</v>
      </c>
      <c r="F188" t="str">
        <f t="shared" si="16"/>
        <v>CT</v>
      </c>
      <c r="G188" t="str">
        <f>"06418"</f>
        <v>06418</v>
      </c>
      <c r="H188" t="str">
        <f>"2037324495"</f>
        <v>2037324495</v>
      </c>
      <c r="I188" t="str">
        <f t="shared" si="18"/>
        <v>ENGLISH</v>
      </c>
    </row>
    <row r="189" spans="1:9" x14ac:dyDescent="0.3">
      <c r="A189" t="str">
        <f t="shared" si="17"/>
        <v>CONNECTICUT CVS PHARMACY, L.L.C.</v>
      </c>
      <c r="B189" t="str">
        <f t="shared" si="14"/>
        <v>Pharmacy</v>
      </c>
      <c r="C189" t="str">
        <f>"661 MAIN ST"</f>
        <v>661 MAIN ST</v>
      </c>
      <c r="D189" t="str">
        <f>""</f>
        <v/>
      </c>
      <c r="E189" t="str">
        <f>"TORRINGTON"</f>
        <v>TORRINGTON</v>
      </c>
      <c r="F189" t="str">
        <f t="shared" ref="F189:F220" si="19">"CT"</f>
        <v>CT</v>
      </c>
      <c r="G189" t="str">
        <f>"06790"</f>
        <v>06790</v>
      </c>
      <c r="H189" t="str">
        <f>"8604828298"</f>
        <v>8604828298</v>
      </c>
      <c r="I189" t="str">
        <f t="shared" si="18"/>
        <v>ENGLISH</v>
      </c>
    </row>
    <row r="190" spans="1:9" x14ac:dyDescent="0.3">
      <c r="A190" t="str">
        <f t="shared" si="17"/>
        <v>CONNECTICUT CVS PHARMACY, L.L.C.</v>
      </c>
      <c r="B190" t="str">
        <f t="shared" si="14"/>
        <v>Pharmacy</v>
      </c>
      <c r="C190" t="str">
        <f>"16 MAIN STREET"</f>
        <v>16 MAIN STREET</v>
      </c>
      <c r="D190" t="str">
        <f>""</f>
        <v/>
      </c>
      <c r="E190" t="str">
        <f>"EAST HARTFORD"</f>
        <v>EAST HARTFORD</v>
      </c>
      <c r="F190" t="str">
        <f t="shared" si="19"/>
        <v>CT</v>
      </c>
      <c r="G190" t="str">
        <f>"06118"</f>
        <v>06118</v>
      </c>
      <c r="H190" t="str">
        <f>"8605681700"</f>
        <v>8605681700</v>
      </c>
      <c r="I190" t="str">
        <f t="shared" si="18"/>
        <v>ENGLISH</v>
      </c>
    </row>
    <row r="191" spans="1:9" x14ac:dyDescent="0.3">
      <c r="A191" t="str">
        <f t="shared" si="17"/>
        <v>CONNECTICUT CVS PHARMACY, L.L.C.</v>
      </c>
      <c r="B191" t="str">
        <f t="shared" si="14"/>
        <v>Pharmacy</v>
      </c>
      <c r="C191" t="str">
        <f>"22 DEPOT HILL ROAD"</f>
        <v>22 DEPOT HILL ROAD</v>
      </c>
      <c r="D191" t="str">
        <f>""</f>
        <v/>
      </c>
      <c r="E191" t="str">
        <f>"SOUTHBURY"</f>
        <v>SOUTHBURY</v>
      </c>
      <c r="F191" t="str">
        <f t="shared" si="19"/>
        <v>CT</v>
      </c>
      <c r="G191" t="str">
        <f>"06488"</f>
        <v>06488</v>
      </c>
      <c r="H191" t="str">
        <f>"2032621831"</f>
        <v>2032621831</v>
      </c>
      <c r="I191" t="str">
        <f t="shared" si="18"/>
        <v>ENGLISH</v>
      </c>
    </row>
    <row r="192" spans="1:9" x14ac:dyDescent="0.3">
      <c r="A192" t="str">
        <f t="shared" si="17"/>
        <v>CONNECTICUT CVS PHARMACY, L.L.C.</v>
      </c>
      <c r="B192" t="str">
        <f t="shared" si="14"/>
        <v>Pharmacy</v>
      </c>
      <c r="C192" t="str">
        <f>"10 LATHROP RD"</f>
        <v>10 LATHROP RD</v>
      </c>
      <c r="D192" t="str">
        <f>""</f>
        <v/>
      </c>
      <c r="E192" t="str">
        <f>"PLAINFIELD"</f>
        <v>PLAINFIELD</v>
      </c>
      <c r="F192" t="str">
        <f t="shared" si="19"/>
        <v>CT</v>
      </c>
      <c r="G192" t="str">
        <f>"06374"</f>
        <v>06374</v>
      </c>
      <c r="H192" t="str">
        <f>"8605642111"</f>
        <v>8605642111</v>
      </c>
      <c r="I192" t="str">
        <f t="shared" si="18"/>
        <v>ENGLISH</v>
      </c>
    </row>
    <row r="193" spans="1:9" x14ac:dyDescent="0.3">
      <c r="A193" t="str">
        <f t="shared" si="17"/>
        <v>CONNECTICUT CVS PHARMACY, L.L.C.</v>
      </c>
      <c r="B193" t="str">
        <f t="shared" si="14"/>
        <v>Pharmacy</v>
      </c>
      <c r="C193" t="str">
        <f>"464 REIDVILLE DR"</f>
        <v>464 REIDVILLE DR</v>
      </c>
      <c r="D193" t="str">
        <f>""</f>
        <v/>
      </c>
      <c r="E193" t="str">
        <f>"WATERBURY"</f>
        <v>WATERBURY</v>
      </c>
      <c r="F193" t="str">
        <f t="shared" si="19"/>
        <v>CT</v>
      </c>
      <c r="G193" t="str">
        <f>"06705"</f>
        <v>06705</v>
      </c>
      <c r="H193" t="str">
        <f>"2035960909"</f>
        <v>2035960909</v>
      </c>
      <c r="I193" t="str">
        <f t="shared" si="18"/>
        <v>ENGLISH</v>
      </c>
    </row>
    <row r="194" spans="1:9" x14ac:dyDescent="0.3">
      <c r="A194" t="str">
        <f t="shared" ref="A194:A202" si="20">"CONNECTICUT CVS PHARMACY, L.L.C."</f>
        <v>CONNECTICUT CVS PHARMACY, L.L.C.</v>
      </c>
      <c r="B194" t="str">
        <f t="shared" ref="B194:B257" si="21">"Pharmacy"</f>
        <v>Pharmacy</v>
      </c>
      <c r="C194" t="str">
        <f>"58 PENNSYLVANIA AVE"</f>
        <v>58 PENNSYLVANIA AVE</v>
      </c>
      <c r="D194" t="str">
        <f>""</f>
        <v/>
      </c>
      <c r="E194" t="str">
        <f>"NIANTIC"</f>
        <v>NIANTIC</v>
      </c>
      <c r="F194" t="str">
        <f t="shared" si="19"/>
        <v>CT</v>
      </c>
      <c r="G194" t="str">
        <f>"06357"</f>
        <v>06357</v>
      </c>
      <c r="H194" t="str">
        <f>"8606910380"</f>
        <v>8606910380</v>
      </c>
      <c r="I194" t="str">
        <f t="shared" si="18"/>
        <v>ENGLISH</v>
      </c>
    </row>
    <row r="195" spans="1:9" x14ac:dyDescent="0.3">
      <c r="A195" t="str">
        <f t="shared" si="20"/>
        <v>CONNECTICUT CVS PHARMACY, L.L.C.</v>
      </c>
      <c r="B195" t="str">
        <f t="shared" si="21"/>
        <v>Pharmacy</v>
      </c>
      <c r="C195" t="str">
        <f>"1875 BOSTON AVENUE"</f>
        <v>1875 BOSTON AVENUE</v>
      </c>
      <c r="D195" t="str">
        <f>""</f>
        <v/>
      </c>
      <c r="E195" t="str">
        <f>"BRIDGEPORT"</f>
        <v>BRIDGEPORT</v>
      </c>
      <c r="F195" t="str">
        <f t="shared" si="19"/>
        <v>CT</v>
      </c>
      <c r="G195" t="str">
        <f>"06610"</f>
        <v>06610</v>
      </c>
      <c r="H195" t="str">
        <f>"2033308278"</f>
        <v>2033308278</v>
      </c>
      <c r="I195" t="str">
        <f t="shared" si="18"/>
        <v>ENGLISH</v>
      </c>
    </row>
    <row r="196" spans="1:9" x14ac:dyDescent="0.3">
      <c r="A196" t="str">
        <f t="shared" si="20"/>
        <v>CONNECTICUT CVS PHARMACY, L.L.C.</v>
      </c>
      <c r="B196" t="str">
        <f t="shared" si="21"/>
        <v>Pharmacy</v>
      </c>
      <c r="C196" t="str">
        <f>"1240 FARMINGTON AVE"</f>
        <v>1240 FARMINGTON AVE</v>
      </c>
      <c r="D196" t="str">
        <f>""</f>
        <v/>
      </c>
      <c r="E196" t="str">
        <f>"WEST HARTFORD"</f>
        <v>WEST HARTFORD</v>
      </c>
      <c r="F196" t="str">
        <f t="shared" si="19"/>
        <v>CT</v>
      </c>
      <c r="G196" t="str">
        <f>"06107"</f>
        <v>06107</v>
      </c>
      <c r="H196" t="str">
        <f>"8605219877"</f>
        <v>8605219877</v>
      </c>
      <c r="I196" t="str">
        <f t="shared" si="18"/>
        <v>ENGLISH</v>
      </c>
    </row>
    <row r="197" spans="1:9" x14ac:dyDescent="0.3">
      <c r="A197" t="str">
        <f t="shared" si="20"/>
        <v>CONNECTICUT CVS PHARMACY, L.L.C.</v>
      </c>
      <c r="B197" t="str">
        <f t="shared" si="21"/>
        <v>Pharmacy</v>
      </c>
      <c r="C197" t="str">
        <f>"905 SOUTH MAIN STREET"</f>
        <v>905 SOUTH MAIN STREET</v>
      </c>
      <c r="D197" t="str">
        <f>""</f>
        <v/>
      </c>
      <c r="E197" t="str">
        <f>"CHESHIRE"</f>
        <v>CHESHIRE</v>
      </c>
      <c r="F197" t="str">
        <f t="shared" si="19"/>
        <v>CT</v>
      </c>
      <c r="G197" t="str">
        <f>"06410"</f>
        <v>06410</v>
      </c>
      <c r="H197" t="str">
        <f>"2032723255"</f>
        <v>2032723255</v>
      </c>
      <c r="I197" t="str">
        <f t="shared" si="18"/>
        <v>ENGLISH</v>
      </c>
    </row>
    <row r="198" spans="1:9" x14ac:dyDescent="0.3">
      <c r="A198" t="str">
        <f t="shared" si="20"/>
        <v>CONNECTICUT CVS PHARMACY, L.L.C.</v>
      </c>
      <c r="B198" t="str">
        <f t="shared" si="21"/>
        <v>Pharmacy</v>
      </c>
      <c r="C198" t="str">
        <f>"20 BANK STREET"</f>
        <v>20 BANK STREET</v>
      </c>
      <c r="D198" t="str">
        <f>""</f>
        <v/>
      </c>
      <c r="E198" t="str">
        <f>"GRANBY"</f>
        <v>GRANBY</v>
      </c>
      <c r="F198" t="str">
        <f t="shared" si="19"/>
        <v>CT</v>
      </c>
      <c r="G198" t="str">
        <f>"06035"</f>
        <v>06035</v>
      </c>
      <c r="H198" t="str">
        <f>"8606534221"</f>
        <v>8606534221</v>
      </c>
      <c r="I198" t="str">
        <f t="shared" si="18"/>
        <v>ENGLISH</v>
      </c>
    </row>
    <row r="199" spans="1:9" x14ac:dyDescent="0.3">
      <c r="A199" t="str">
        <f t="shared" si="20"/>
        <v>CONNECTICUT CVS PHARMACY, L.L.C.</v>
      </c>
      <c r="B199" t="str">
        <f t="shared" si="21"/>
        <v>Pharmacy</v>
      </c>
      <c r="C199" t="str">
        <f>"734 BRIDGEPORT AVE"</f>
        <v>734 BRIDGEPORT AVE</v>
      </c>
      <c r="D199" t="str">
        <f>""</f>
        <v/>
      </c>
      <c r="E199" t="str">
        <f>"MILFORD"</f>
        <v>MILFORD</v>
      </c>
      <c r="F199" t="str">
        <f t="shared" si="19"/>
        <v>CT</v>
      </c>
      <c r="G199" t="str">
        <f>"06460"</f>
        <v>06460</v>
      </c>
      <c r="H199" t="str">
        <f>"2038778127"</f>
        <v>2038778127</v>
      </c>
      <c r="I199" t="str">
        <f t="shared" si="18"/>
        <v>ENGLISH</v>
      </c>
    </row>
    <row r="200" spans="1:9" x14ac:dyDescent="0.3">
      <c r="A200" t="str">
        <f t="shared" si="20"/>
        <v>CONNECTICUT CVS PHARMACY, L.L.C.</v>
      </c>
      <c r="B200" t="str">
        <f t="shared" si="21"/>
        <v>Pharmacy</v>
      </c>
      <c r="C200" t="str">
        <f>"714 HOPMEADOW STREET"</f>
        <v>714 HOPMEADOW STREET</v>
      </c>
      <c r="D200" t="str">
        <f>""</f>
        <v/>
      </c>
      <c r="E200" t="str">
        <f>"SIMSBURY"</f>
        <v>SIMSBURY</v>
      </c>
      <c r="F200" t="str">
        <f t="shared" si="19"/>
        <v>CT</v>
      </c>
      <c r="G200" t="str">
        <f>"06070"</f>
        <v>06070</v>
      </c>
      <c r="H200" t="str">
        <f>"8606511440"</f>
        <v>8606511440</v>
      </c>
      <c r="I200" t="str">
        <f t="shared" si="18"/>
        <v>ENGLISH</v>
      </c>
    </row>
    <row r="201" spans="1:9" x14ac:dyDescent="0.3">
      <c r="A201" t="str">
        <f t="shared" si="20"/>
        <v>CONNECTICUT CVS PHARMACY, L.L.C.</v>
      </c>
      <c r="B201" t="str">
        <f t="shared" si="21"/>
        <v>Pharmacy</v>
      </c>
      <c r="C201" t="str">
        <f>"81 NORTH ST"</f>
        <v>81 NORTH ST</v>
      </c>
      <c r="D201" t="str">
        <f>""</f>
        <v/>
      </c>
      <c r="E201" t="str">
        <f>"BRISTOL"</f>
        <v>BRISTOL</v>
      </c>
      <c r="F201" t="str">
        <f t="shared" si="19"/>
        <v>CT</v>
      </c>
      <c r="G201" t="str">
        <f>"06010"</f>
        <v>06010</v>
      </c>
      <c r="H201" t="str">
        <f>"8605848998"</f>
        <v>8605848998</v>
      </c>
      <c r="I201" t="str">
        <f t="shared" si="18"/>
        <v>ENGLISH</v>
      </c>
    </row>
    <row r="202" spans="1:9" x14ac:dyDescent="0.3">
      <c r="A202" t="str">
        <f t="shared" si="20"/>
        <v>CONNECTICUT CVS PHARMACY, L.L.C.</v>
      </c>
      <c r="B202" t="str">
        <f t="shared" si="21"/>
        <v>Pharmacy</v>
      </c>
      <c r="C202" t="str">
        <f>"17 W MAIN ST"</f>
        <v>17 W MAIN ST</v>
      </c>
      <c r="D202" t="str">
        <f>""</f>
        <v/>
      </c>
      <c r="E202" t="str">
        <f>"CLINTON"</f>
        <v>CLINTON</v>
      </c>
      <c r="F202" t="str">
        <f t="shared" si="19"/>
        <v>CT</v>
      </c>
      <c r="G202" t="str">
        <f>"06413"</f>
        <v>06413</v>
      </c>
      <c r="H202" t="str">
        <f>"8606649337"</f>
        <v>8606649337</v>
      </c>
      <c r="I202" t="str">
        <f>"ENGLISH;INTERPRETER AVAILABLE"</f>
        <v>ENGLISH;INTERPRETER AVAILABLE</v>
      </c>
    </row>
    <row r="203" spans="1:9" x14ac:dyDescent="0.3">
      <c r="A203" t="str">
        <f t="shared" ref="A203:A234" si="22">"CONNECTICUT CVS PHARMACY, LLC"</f>
        <v>CONNECTICUT CVS PHARMACY, LLC</v>
      </c>
      <c r="B203" t="str">
        <f t="shared" si="21"/>
        <v>Pharmacy</v>
      </c>
      <c r="C203" t="str">
        <f>"311 MAIN ST"</f>
        <v>311 MAIN ST</v>
      </c>
      <c r="D203" t="str">
        <f>""</f>
        <v/>
      </c>
      <c r="E203" t="str">
        <f>"TERRYVILLE"</f>
        <v>TERRYVILLE</v>
      </c>
      <c r="F203" t="str">
        <f t="shared" si="19"/>
        <v>CT</v>
      </c>
      <c r="G203" t="str">
        <f>"06786"</f>
        <v>06786</v>
      </c>
      <c r="H203" t="str">
        <f>"8603142891"</f>
        <v>8603142891</v>
      </c>
      <c r="I203" t="str">
        <f>"ENGLISH"</f>
        <v>ENGLISH</v>
      </c>
    </row>
    <row r="204" spans="1:9" x14ac:dyDescent="0.3">
      <c r="A204" t="str">
        <f t="shared" si="22"/>
        <v>CONNECTICUT CVS PHARMACY, LLC</v>
      </c>
      <c r="B204" t="str">
        <f t="shared" si="21"/>
        <v>Pharmacy</v>
      </c>
      <c r="C204" t="str">
        <f>"229 HOPE ST"</f>
        <v>229 HOPE ST</v>
      </c>
      <c r="D204" t="str">
        <f>""</f>
        <v/>
      </c>
      <c r="E204" t="str">
        <f>"STAMFORD"</f>
        <v>STAMFORD</v>
      </c>
      <c r="F204" t="str">
        <f t="shared" si="19"/>
        <v>CT</v>
      </c>
      <c r="G204" t="str">
        <f>"06906"</f>
        <v>06906</v>
      </c>
      <c r="H204" t="str">
        <f>"2039211313"</f>
        <v>2039211313</v>
      </c>
      <c r="I204" t="str">
        <f>"ENGLISH;INTERPRETER AVAILABLE"</f>
        <v>ENGLISH;INTERPRETER AVAILABLE</v>
      </c>
    </row>
    <row r="205" spans="1:9" x14ac:dyDescent="0.3">
      <c r="A205" t="str">
        <f t="shared" si="22"/>
        <v>CONNECTICUT CVS PHARMACY, LLC</v>
      </c>
      <c r="B205" t="str">
        <f t="shared" si="21"/>
        <v>Pharmacy</v>
      </c>
      <c r="C205" t="str">
        <f>"358 WEST MAIN ST"</f>
        <v>358 WEST MAIN ST</v>
      </c>
      <c r="D205" t="str">
        <f>""</f>
        <v/>
      </c>
      <c r="E205" t="str">
        <f>"AVON"</f>
        <v>AVON</v>
      </c>
      <c r="F205" t="str">
        <f t="shared" si="19"/>
        <v>CT</v>
      </c>
      <c r="G205" t="str">
        <f>"06001"</f>
        <v>06001</v>
      </c>
      <c r="H205" t="str">
        <f>"8606788605"</f>
        <v>8606788605</v>
      </c>
      <c r="I205" t="str">
        <f t="shared" ref="I205:I240" si="23">"ENGLISH"</f>
        <v>ENGLISH</v>
      </c>
    </row>
    <row r="206" spans="1:9" x14ac:dyDescent="0.3">
      <c r="A206" t="str">
        <f t="shared" si="22"/>
        <v>CONNECTICUT CVS PHARMACY, LLC</v>
      </c>
      <c r="B206" t="str">
        <f t="shared" si="21"/>
        <v>Pharmacy</v>
      </c>
      <c r="C206" t="str">
        <f>"817 BANK ST"</f>
        <v>817 BANK ST</v>
      </c>
      <c r="D206" t="str">
        <f>""</f>
        <v/>
      </c>
      <c r="E206" t="str">
        <f>"NEW LONDON"</f>
        <v>NEW LONDON</v>
      </c>
      <c r="F206" t="str">
        <f t="shared" si="19"/>
        <v>CT</v>
      </c>
      <c r="G206" t="str">
        <f>"06320"</f>
        <v>06320</v>
      </c>
      <c r="H206" t="str">
        <f>"8604435359"</f>
        <v>8604435359</v>
      </c>
      <c r="I206" t="str">
        <f t="shared" si="23"/>
        <v>ENGLISH</v>
      </c>
    </row>
    <row r="207" spans="1:9" x14ac:dyDescent="0.3">
      <c r="A207" t="str">
        <f t="shared" si="22"/>
        <v>CONNECTICUT CVS PHARMACY, LLC</v>
      </c>
      <c r="B207" t="str">
        <f t="shared" si="21"/>
        <v>Pharmacy</v>
      </c>
      <c r="C207" t="str">
        <f>"327 MAIN AVE"</f>
        <v>327 MAIN AVE</v>
      </c>
      <c r="D207" t="str">
        <f>""</f>
        <v/>
      </c>
      <c r="E207" t="str">
        <f>"NORWALK"</f>
        <v>NORWALK</v>
      </c>
      <c r="F207" t="str">
        <f t="shared" si="19"/>
        <v>CT</v>
      </c>
      <c r="G207" t="str">
        <f>"06851"</f>
        <v>06851</v>
      </c>
      <c r="H207" t="str">
        <f>"2038472351"</f>
        <v>2038472351</v>
      </c>
      <c r="I207" t="str">
        <f t="shared" si="23"/>
        <v>ENGLISH</v>
      </c>
    </row>
    <row r="208" spans="1:9" x14ac:dyDescent="0.3">
      <c r="A208" t="str">
        <f t="shared" si="22"/>
        <v>CONNECTICUT CVS PHARMACY, LLC</v>
      </c>
      <c r="B208" t="str">
        <f t="shared" si="21"/>
        <v>Pharmacy</v>
      </c>
      <c r="C208" t="str">
        <f>"146 SOUTH STREET"</f>
        <v>146 SOUTH STREET</v>
      </c>
      <c r="D208" t="str">
        <f>""</f>
        <v/>
      </c>
      <c r="E208" t="str">
        <f>"DANBURY"</f>
        <v>DANBURY</v>
      </c>
      <c r="F208" t="str">
        <f t="shared" si="19"/>
        <v>CT</v>
      </c>
      <c r="G208" t="str">
        <f>"06810"</f>
        <v>06810</v>
      </c>
      <c r="H208" t="str">
        <f>"2037978919"</f>
        <v>2037978919</v>
      </c>
      <c r="I208" t="str">
        <f t="shared" si="23"/>
        <v>ENGLISH</v>
      </c>
    </row>
    <row r="209" spans="1:9" x14ac:dyDescent="0.3">
      <c r="A209" t="str">
        <f t="shared" si="22"/>
        <v>CONNECTICUT CVS PHARMACY, LLC</v>
      </c>
      <c r="B209" t="str">
        <f t="shared" si="21"/>
        <v>Pharmacy</v>
      </c>
      <c r="C209" t="str">
        <f>"2-6 SHORT BEACH ROAD"</f>
        <v>2-6 SHORT BEACH ROAD</v>
      </c>
      <c r="D209" t="str">
        <f>""</f>
        <v/>
      </c>
      <c r="E209" t="str">
        <f>"BRANFORD"</f>
        <v>BRANFORD</v>
      </c>
      <c r="F209" t="str">
        <f t="shared" si="19"/>
        <v>CT</v>
      </c>
      <c r="G209" t="str">
        <f>"06405"</f>
        <v>06405</v>
      </c>
      <c r="H209" t="str">
        <f>"2034889485"</f>
        <v>2034889485</v>
      </c>
      <c r="I209" t="str">
        <f t="shared" si="23"/>
        <v>ENGLISH</v>
      </c>
    </row>
    <row r="210" spans="1:9" x14ac:dyDescent="0.3">
      <c r="A210" t="str">
        <f t="shared" si="22"/>
        <v>CONNECTICUT CVS PHARMACY, LLC</v>
      </c>
      <c r="B210" t="str">
        <f t="shared" si="21"/>
        <v>Pharmacy</v>
      </c>
      <c r="C210" t="str">
        <f>"292 SPIELMAN HWY"</f>
        <v>292 SPIELMAN HWY</v>
      </c>
      <c r="D210" t="str">
        <f>""</f>
        <v/>
      </c>
      <c r="E210" t="str">
        <f>"BURLINGTON"</f>
        <v>BURLINGTON</v>
      </c>
      <c r="F210" t="str">
        <f t="shared" si="19"/>
        <v>CT</v>
      </c>
      <c r="G210" t="str">
        <f>"06013"</f>
        <v>06013</v>
      </c>
      <c r="H210" t="str">
        <f>"8007467287"</f>
        <v>8007467287</v>
      </c>
      <c r="I210" t="str">
        <f t="shared" si="23"/>
        <v>ENGLISH</v>
      </c>
    </row>
    <row r="211" spans="1:9" x14ac:dyDescent="0.3">
      <c r="A211" t="str">
        <f t="shared" si="22"/>
        <v>CONNECTICUT CVS PHARMACY, LLC</v>
      </c>
      <c r="B211" t="str">
        <f t="shared" si="21"/>
        <v>Pharmacy</v>
      </c>
      <c r="C211" t="str">
        <f>"279 BOSTON POST RD"</f>
        <v>279 BOSTON POST RD</v>
      </c>
      <c r="D211" t="str">
        <f>""</f>
        <v/>
      </c>
      <c r="E211" t="str">
        <f>"ORANGE"</f>
        <v>ORANGE</v>
      </c>
      <c r="F211" t="str">
        <f t="shared" si="19"/>
        <v>CT</v>
      </c>
      <c r="G211" t="str">
        <f>"06477"</f>
        <v>06477</v>
      </c>
      <c r="H211" t="str">
        <f>"2037954704"</f>
        <v>2037954704</v>
      </c>
      <c r="I211" t="str">
        <f t="shared" si="23"/>
        <v>ENGLISH</v>
      </c>
    </row>
    <row r="212" spans="1:9" x14ac:dyDescent="0.3">
      <c r="A212" t="str">
        <f t="shared" si="22"/>
        <v>CONNECTICUT CVS PHARMACY, LLC</v>
      </c>
      <c r="B212" t="str">
        <f t="shared" si="21"/>
        <v>Pharmacy</v>
      </c>
      <c r="C212" t="str">
        <f>"581 HIGHLAND AVENUE"</f>
        <v>581 HIGHLAND AVENUE</v>
      </c>
      <c r="D212" t="str">
        <f>""</f>
        <v/>
      </c>
      <c r="E212" t="str">
        <f>"CHESHIRE"</f>
        <v>CHESHIRE</v>
      </c>
      <c r="F212" t="str">
        <f t="shared" si="19"/>
        <v>CT</v>
      </c>
      <c r="G212" t="str">
        <f>"06410"</f>
        <v>06410</v>
      </c>
      <c r="H212" t="str">
        <f>"2032502251"</f>
        <v>2032502251</v>
      </c>
      <c r="I212" t="str">
        <f t="shared" si="23"/>
        <v>ENGLISH</v>
      </c>
    </row>
    <row r="213" spans="1:9" x14ac:dyDescent="0.3">
      <c r="A213" t="str">
        <f t="shared" si="22"/>
        <v>CONNECTICUT CVS PHARMACY, LLC</v>
      </c>
      <c r="B213" t="str">
        <f t="shared" si="21"/>
        <v>Pharmacy</v>
      </c>
      <c r="C213" t="str">
        <f>"479 BLUE HILLS AVENUE"</f>
        <v>479 BLUE HILLS AVENUE</v>
      </c>
      <c r="D213" t="str">
        <f>""</f>
        <v/>
      </c>
      <c r="E213" t="str">
        <f>"HARTFORD"</f>
        <v>HARTFORD</v>
      </c>
      <c r="F213" t="str">
        <f t="shared" si="19"/>
        <v>CT</v>
      </c>
      <c r="G213" t="str">
        <f>"06112"</f>
        <v>06112</v>
      </c>
      <c r="H213" t="str">
        <f>"8607696870"</f>
        <v>8607696870</v>
      </c>
      <c r="I213" t="str">
        <f t="shared" si="23"/>
        <v>ENGLISH</v>
      </c>
    </row>
    <row r="214" spans="1:9" x14ac:dyDescent="0.3">
      <c r="A214" t="str">
        <f t="shared" si="22"/>
        <v>CONNECTICUT CVS PHARMACY, LLC</v>
      </c>
      <c r="B214" t="str">
        <f t="shared" si="21"/>
        <v>Pharmacy</v>
      </c>
      <c r="C214" t="str">
        <f>"3514 MAIN STREET"</f>
        <v>3514 MAIN STREET</v>
      </c>
      <c r="D214" t="str">
        <f>""</f>
        <v/>
      </c>
      <c r="E214" t="str">
        <f>"COVENTRY"</f>
        <v>COVENTRY</v>
      </c>
      <c r="F214" t="str">
        <f t="shared" si="19"/>
        <v>CT</v>
      </c>
      <c r="G214" t="str">
        <f>"06238"</f>
        <v>06238</v>
      </c>
      <c r="H214" t="str">
        <f>"8607423543"</f>
        <v>8607423543</v>
      </c>
      <c r="I214" t="str">
        <f t="shared" si="23"/>
        <v>ENGLISH</v>
      </c>
    </row>
    <row r="215" spans="1:9" x14ac:dyDescent="0.3">
      <c r="A215" t="str">
        <f t="shared" si="22"/>
        <v>CONNECTICUT CVS PHARMACY, LLC</v>
      </c>
      <c r="B215" t="str">
        <f t="shared" si="21"/>
        <v>Pharmacy</v>
      </c>
      <c r="C215" t="str">
        <f>"93 OLD RIDGEFIELD ROAD"</f>
        <v>93 OLD RIDGEFIELD ROAD</v>
      </c>
      <c r="D215" t="str">
        <f>""</f>
        <v/>
      </c>
      <c r="E215" t="str">
        <f>"WILTON"</f>
        <v>WILTON</v>
      </c>
      <c r="F215" t="str">
        <f t="shared" si="19"/>
        <v>CT</v>
      </c>
      <c r="G215" t="str">
        <f>"06897"</f>
        <v>06897</v>
      </c>
      <c r="H215" t="str">
        <f>"2037625020"</f>
        <v>2037625020</v>
      </c>
      <c r="I215" t="str">
        <f t="shared" si="23"/>
        <v>ENGLISH</v>
      </c>
    </row>
    <row r="216" spans="1:9" x14ac:dyDescent="0.3">
      <c r="A216" t="str">
        <f t="shared" si="22"/>
        <v>CONNECTICUT CVS PHARMACY, LLC</v>
      </c>
      <c r="B216" t="str">
        <f t="shared" si="21"/>
        <v>Pharmacy</v>
      </c>
      <c r="C216" t="str">
        <f>"122 E PUTNAM RD"</f>
        <v>122 E PUTNAM RD</v>
      </c>
      <c r="D216" t="str">
        <f>""</f>
        <v/>
      </c>
      <c r="E216" t="str">
        <f>"COS COB"</f>
        <v>COS COB</v>
      </c>
      <c r="F216" t="str">
        <f t="shared" si="19"/>
        <v>CT</v>
      </c>
      <c r="G216" t="str">
        <f>"06807"</f>
        <v>06807</v>
      </c>
      <c r="H216" t="str">
        <f>"8007467287"</f>
        <v>8007467287</v>
      </c>
      <c r="I216" t="str">
        <f t="shared" si="23"/>
        <v>ENGLISH</v>
      </c>
    </row>
    <row r="217" spans="1:9" x14ac:dyDescent="0.3">
      <c r="A217" t="str">
        <f t="shared" si="22"/>
        <v>CONNECTICUT CVS PHARMACY, LLC</v>
      </c>
      <c r="B217" t="str">
        <f t="shared" si="21"/>
        <v>Pharmacy</v>
      </c>
      <c r="C217" t="str">
        <f>"54 EAST HIGH ST"</f>
        <v>54 EAST HIGH ST</v>
      </c>
      <c r="D217" t="str">
        <f>""</f>
        <v/>
      </c>
      <c r="E217" t="str">
        <f>"EAST HAMPTON"</f>
        <v>EAST HAMPTON</v>
      </c>
      <c r="F217" t="str">
        <f t="shared" si="19"/>
        <v>CT</v>
      </c>
      <c r="G217" t="str">
        <f>"06424"</f>
        <v>06424</v>
      </c>
      <c r="H217" t="str">
        <f>"8602676853"</f>
        <v>8602676853</v>
      </c>
      <c r="I217" t="str">
        <f t="shared" si="23"/>
        <v>ENGLISH</v>
      </c>
    </row>
    <row r="218" spans="1:9" x14ac:dyDescent="0.3">
      <c r="A218" t="str">
        <f t="shared" si="22"/>
        <v>CONNECTICUT CVS PHARMACY, LLC</v>
      </c>
      <c r="B218" t="str">
        <f t="shared" si="21"/>
        <v>Pharmacy</v>
      </c>
      <c r="C218" t="str">
        <f>"57 PROVIDENCE PIKE"</f>
        <v>57 PROVIDENCE PIKE</v>
      </c>
      <c r="D218" t="str">
        <f>""</f>
        <v/>
      </c>
      <c r="E218" t="str">
        <f>"PUTNAM"</f>
        <v>PUTNAM</v>
      </c>
      <c r="F218" t="str">
        <f t="shared" si="19"/>
        <v>CT</v>
      </c>
      <c r="G218" t="str">
        <f>"06260"</f>
        <v>06260</v>
      </c>
      <c r="H218" t="str">
        <f>"8609632548"</f>
        <v>8609632548</v>
      </c>
      <c r="I218" t="str">
        <f t="shared" si="23"/>
        <v>ENGLISH</v>
      </c>
    </row>
    <row r="219" spans="1:9" x14ac:dyDescent="0.3">
      <c r="A219" t="str">
        <f t="shared" si="22"/>
        <v>CONNECTICUT CVS PHARMACY, LLC</v>
      </c>
      <c r="B219" t="str">
        <f t="shared" si="21"/>
        <v>Pharmacy</v>
      </c>
      <c r="C219" t="str">
        <f>"675 WASHINGTON ST"</f>
        <v>675 WASHINGTON ST</v>
      </c>
      <c r="D219" t="str">
        <f>""</f>
        <v/>
      </c>
      <c r="E219" t="str">
        <f>"MIDDLETOWN"</f>
        <v>MIDDLETOWN</v>
      </c>
      <c r="F219" t="str">
        <f t="shared" si="19"/>
        <v>CT</v>
      </c>
      <c r="G219" t="str">
        <f>"06457"</f>
        <v>06457</v>
      </c>
      <c r="H219" t="str">
        <f>"8603441320"</f>
        <v>8603441320</v>
      </c>
      <c r="I219" t="str">
        <f t="shared" si="23"/>
        <v>ENGLISH</v>
      </c>
    </row>
    <row r="220" spans="1:9" x14ac:dyDescent="0.3">
      <c r="A220" t="str">
        <f t="shared" si="22"/>
        <v>CONNECTICUT CVS PHARMACY, LLC</v>
      </c>
      <c r="B220" t="str">
        <f t="shared" si="21"/>
        <v>Pharmacy</v>
      </c>
      <c r="C220" t="str">
        <f>"6 QUEEN ST"</f>
        <v>6 QUEEN ST</v>
      </c>
      <c r="D220" t="str">
        <f>""</f>
        <v/>
      </c>
      <c r="E220" t="str">
        <f>"NEWTOWN"</f>
        <v>NEWTOWN</v>
      </c>
      <c r="F220" t="str">
        <f t="shared" si="19"/>
        <v>CT</v>
      </c>
      <c r="G220" t="str">
        <f>"06470"</f>
        <v>06470</v>
      </c>
      <c r="H220" t="str">
        <f>"2034262595"</f>
        <v>2034262595</v>
      </c>
      <c r="I220" t="str">
        <f t="shared" si="23"/>
        <v>ENGLISH</v>
      </c>
    </row>
    <row r="221" spans="1:9" x14ac:dyDescent="0.3">
      <c r="A221" t="str">
        <f t="shared" si="22"/>
        <v>CONNECTICUT CVS PHARMACY, LLC</v>
      </c>
      <c r="B221" t="str">
        <f t="shared" si="21"/>
        <v>Pharmacy</v>
      </c>
      <c r="C221" t="str">
        <f>"2427 MAIN ST"</f>
        <v>2427 MAIN ST</v>
      </c>
      <c r="D221" t="str">
        <f>""</f>
        <v/>
      </c>
      <c r="E221" t="str">
        <f>"ROCKY HILL"</f>
        <v>ROCKY HILL</v>
      </c>
      <c r="F221" t="str">
        <f t="shared" ref="F221:F242" si="24">"CT"</f>
        <v>CT</v>
      </c>
      <c r="G221" t="str">
        <f>"06067"</f>
        <v>06067</v>
      </c>
      <c r="H221" t="str">
        <f>"8602584963"</f>
        <v>8602584963</v>
      </c>
      <c r="I221" t="str">
        <f t="shared" si="23"/>
        <v>ENGLISH</v>
      </c>
    </row>
    <row r="222" spans="1:9" x14ac:dyDescent="0.3">
      <c r="A222" t="str">
        <f t="shared" si="22"/>
        <v>CONNECTICUT CVS PHARMACY, LLC</v>
      </c>
      <c r="B222" t="str">
        <f t="shared" si="21"/>
        <v>Pharmacy</v>
      </c>
      <c r="C222" t="str">
        <f>"150 S.MAIN STREET"</f>
        <v>150 S.MAIN STREET</v>
      </c>
      <c r="D222" t="str">
        <f>""</f>
        <v/>
      </c>
      <c r="E222" t="str">
        <f>"WEST HARTFORD"</f>
        <v>WEST HARTFORD</v>
      </c>
      <c r="F222" t="str">
        <f t="shared" si="24"/>
        <v>CT</v>
      </c>
      <c r="G222" t="str">
        <f>"06107"</f>
        <v>06107</v>
      </c>
      <c r="H222" t="str">
        <f>"8007467287"</f>
        <v>8007467287</v>
      </c>
      <c r="I222" t="str">
        <f t="shared" si="23"/>
        <v>ENGLISH</v>
      </c>
    </row>
    <row r="223" spans="1:9" x14ac:dyDescent="0.3">
      <c r="A223" t="str">
        <f t="shared" si="22"/>
        <v>CONNECTICUT CVS PHARMACY, LLC</v>
      </c>
      <c r="B223" t="str">
        <f t="shared" si="21"/>
        <v>Pharmacy</v>
      </c>
      <c r="C223" t="str">
        <f>"22 WINDSOR AVENUE ROUTE 83"</f>
        <v>22 WINDSOR AVENUE ROUTE 83</v>
      </c>
      <c r="D223" t="str">
        <f>""</f>
        <v/>
      </c>
      <c r="E223" t="str">
        <f>"ROCKVILLE"</f>
        <v>ROCKVILLE</v>
      </c>
      <c r="F223" t="str">
        <f t="shared" si="24"/>
        <v>CT</v>
      </c>
      <c r="G223" t="str">
        <f>"06066"</f>
        <v>06066</v>
      </c>
      <c r="H223" t="str">
        <f>"8608706765"</f>
        <v>8608706765</v>
      </c>
      <c r="I223" t="str">
        <f t="shared" si="23"/>
        <v>ENGLISH</v>
      </c>
    </row>
    <row r="224" spans="1:9" x14ac:dyDescent="0.3">
      <c r="A224" t="str">
        <f t="shared" si="22"/>
        <v>CONNECTICUT CVS PHARMACY, LLC</v>
      </c>
      <c r="B224" t="str">
        <f t="shared" si="21"/>
        <v>Pharmacy</v>
      </c>
      <c r="C224" t="str">
        <f>"632 MIDDLE TURNPIKE"</f>
        <v>632 MIDDLE TURNPIKE</v>
      </c>
      <c r="D224" t="str">
        <f>""</f>
        <v/>
      </c>
      <c r="E224" t="str">
        <f>"STORRS"</f>
        <v>STORRS</v>
      </c>
      <c r="F224" t="str">
        <f t="shared" si="24"/>
        <v>CT</v>
      </c>
      <c r="G224" t="str">
        <f>"06268"</f>
        <v>06268</v>
      </c>
      <c r="H224" t="str">
        <f>"8604872034"</f>
        <v>8604872034</v>
      </c>
      <c r="I224" t="str">
        <f t="shared" si="23"/>
        <v>ENGLISH</v>
      </c>
    </row>
    <row r="225" spans="1:9" x14ac:dyDescent="0.3">
      <c r="A225" t="str">
        <f t="shared" si="22"/>
        <v>CONNECTICUT CVS PHARMACY, LLC</v>
      </c>
      <c r="B225" t="str">
        <f t="shared" si="21"/>
        <v>Pharmacy</v>
      </c>
      <c r="C225" t="str">
        <f>"540 WEST MAIN STREET"</f>
        <v>540 WEST MAIN STREET</v>
      </c>
      <c r="D225" t="str">
        <f>""</f>
        <v/>
      </c>
      <c r="E225" t="str">
        <f>"MERIDEN"</f>
        <v>MERIDEN</v>
      </c>
      <c r="F225" t="str">
        <f t="shared" si="24"/>
        <v>CT</v>
      </c>
      <c r="G225" t="str">
        <f>"06451"</f>
        <v>06451</v>
      </c>
      <c r="H225" t="str">
        <f>"2032378984"</f>
        <v>2032378984</v>
      </c>
      <c r="I225" t="str">
        <f t="shared" si="23"/>
        <v>ENGLISH</v>
      </c>
    </row>
    <row r="226" spans="1:9" x14ac:dyDescent="0.3">
      <c r="A226" t="str">
        <f t="shared" si="22"/>
        <v>CONNECTICUT CVS PHARMACY, LLC</v>
      </c>
      <c r="B226" t="str">
        <f t="shared" si="21"/>
        <v>Pharmacy</v>
      </c>
      <c r="C226" t="str">
        <f>"99 GREENWICH AVENUE"</f>
        <v>99 GREENWICH AVENUE</v>
      </c>
      <c r="D226" t="str">
        <f>""</f>
        <v/>
      </c>
      <c r="E226" t="str">
        <f>"GREENWICH"</f>
        <v>GREENWICH</v>
      </c>
      <c r="F226" t="str">
        <f t="shared" si="24"/>
        <v>CT</v>
      </c>
      <c r="G226" t="str">
        <f>"06830"</f>
        <v>06830</v>
      </c>
      <c r="H226" t="str">
        <f>"2038629320"</f>
        <v>2038629320</v>
      </c>
      <c r="I226" t="str">
        <f t="shared" si="23"/>
        <v>ENGLISH</v>
      </c>
    </row>
    <row r="227" spans="1:9" x14ac:dyDescent="0.3">
      <c r="A227" t="str">
        <f t="shared" si="22"/>
        <v>CONNECTICUT CVS PHARMACY, LLC</v>
      </c>
      <c r="B227" t="str">
        <f t="shared" si="21"/>
        <v>Pharmacy</v>
      </c>
      <c r="C227" t="str">
        <f>"6 WILLARD ROAD"</f>
        <v>6 WILLARD ROAD</v>
      </c>
      <c r="D227" t="str">
        <f>""</f>
        <v/>
      </c>
      <c r="E227" t="str">
        <f>"NORWALK"</f>
        <v>NORWALK</v>
      </c>
      <c r="F227" t="str">
        <f t="shared" si="24"/>
        <v>CT</v>
      </c>
      <c r="G227" t="str">
        <f>"06851"</f>
        <v>06851</v>
      </c>
      <c r="H227" t="str">
        <f>"2037506901"</f>
        <v>2037506901</v>
      </c>
      <c r="I227" t="str">
        <f t="shared" si="23"/>
        <v>ENGLISH</v>
      </c>
    </row>
    <row r="228" spans="1:9" x14ac:dyDescent="0.3">
      <c r="A228" t="str">
        <f t="shared" si="22"/>
        <v>CONNECTICUT CVS PHARMACY, LLC</v>
      </c>
      <c r="B228" t="str">
        <f t="shared" si="21"/>
        <v>Pharmacy</v>
      </c>
      <c r="C228" t="str">
        <f>"25 BROADWAY AVE"</f>
        <v>25 BROADWAY AVE</v>
      </c>
      <c r="D228" t="str">
        <f>""</f>
        <v/>
      </c>
      <c r="E228" t="str">
        <f>"MYSTIC"</f>
        <v>MYSTIC</v>
      </c>
      <c r="F228" t="str">
        <f t="shared" si="24"/>
        <v>CT</v>
      </c>
      <c r="G228" t="str">
        <f>"06355"</f>
        <v>06355</v>
      </c>
      <c r="H228" t="str">
        <f>"8605365635"</f>
        <v>8605365635</v>
      </c>
      <c r="I228" t="str">
        <f t="shared" si="23"/>
        <v>ENGLISH</v>
      </c>
    </row>
    <row r="229" spans="1:9" x14ac:dyDescent="0.3">
      <c r="A229" t="str">
        <f t="shared" si="22"/>
        <v>CONNECTICUT CVS PHARMACY, LLC</v>
      </c>
      <c r="B229" t="str">
        <f t="shared" si="21"/>
        <v>Pharmacy</v>
      </c>
      <c r="C229" t="str">
        <f>"1279 W MAIN ST"</f>
        <v>1279 W MAIN ST</v>
      </c>
      <c r="D229" t="str">
        <f>""</f>
        <v/>
      </c>
      <c r="E229" t="str">
        <f>"WATERBURY"</f>
        <v>WATERBURY</v>
      </c>
      <c r="F229" t="str">
        <f t="shared" si="24"/>
        <v>CT</v>
      </c>
      <c r="G229" t="str">
        <f>"06708"</f>
        <v>06708</v>
      </c>
      <c r="H229" t="str">
        <f>"2037555490"</f>
        <v>2037555490</v>
      </c>
      <c r="I229" t="str">
        <f t="shared" si="23"/>
        <v>ENGLISH</v>
      </c>
    </row>
    <row r="230" spans="1:9" x14ac:dyDescent="0.3">
      <c r="A230" t="str">
        <f t="shared" si="22"/>
        <v>CONNECTICUT CVS PHARMACY, LLC</v>
      </c>
      <c r="B230" t="str">
        <f t="shared" si="21"/>
        <v>Pharmacy</v>
      </c>
      <c r="C230" t="str">
        <f>"891 NORTH COLONY RD."</f>
        <v>891 NORTH COLONY RD.</v>
      </c>
      <c r="D230" t="str">
        <f>""</f>
        <v/>
      </c>
      <c r="E230" t="str">
        <f>"WALLINGFORD"</f>
        <v>WALLINGFORD</v>
      </c>
      <c r="F230" t="str">
        <f t="shared" si="24"/>
        <v>CT</v>
      </c>
      <c r="G230" t="str">
        <f>"06492"</f>
        <v>06492</v>
      </c>
      <c r="H230" t="str">
        <f>"2032948890"</f>
        <v>2032948890</v>
      </c>
      <c r="I230" t="str">
        <f t="shared" si="23"/>
        <v>ENGLISH</v>
      </c>
    </row>
    <row r="231" spans="1:9" x14ac:dyDescent="0.3">
      <c r="A231" t="str">
        <f t="shared" si="22"/>
        <v>CONNECTICUT CVS PHARMACY, LLC</v>
      </c>
      <c r="B231" t="str">
        <f t="shared" si="21"/>
        <v>Pharmacy</v>
      </c>
      <c r="C231" t="str">
        <f>"60 MIDDLE STREET"</f>
        <v>60 MIDDLE STREET</v>
      </c>
      <c r="D231" t="str">
        <f>""</f>
        <v/>
      </c>
      <c r="E231" t="str">
        <f>"BRISTOL"</f>
        <v>BRISTOL</v>
      </c>
      <c r="F231" t="str">
        <f t="shared" si="24"/>
        <v>CT</v>
      </c>
      <c r="G231" t="str">
        <f>"06010"</f>
        <v>06010</v>
      </c>
      <c r="H231" t="str">
        <f>"8605850122"</f>
        <v>8605850122</v>
      </c>
      <c r="I231" t="str">
        <f t="shared" si="23"/>
        <v>ENGLISH</v>
      </c>
    </row>
    <row r="232" spans="1:9" x14ac:dyDescent="0.3">
      <c r="A232" t="str">
        <f t="shared" si="22"/>
        <v>CONNECTICUT CVS PHARMACY, LLC</v>
      </c>
      <c r="B232" t="str">
        <f t="shared" si="21"/>
        <v>Pharmacy</v>
      </c>
      <c r="C232" t="str">
        <f>"1657 ROUTE 12"</f>
        <v>1657 ROUTE 12</v>
      </c>
      <c r="D232" t="str">
        <f>""</f>
        <v/>
      </c>
      <c r="E232" t="str">
        <f>"GALES FERRY"</f>
        <v>GALES FERRY</v>
      </c>
      <c r="F232" t="str">
        <f t="shared" si="24"/>
        <v>CT</v>
      </c>
      <c r="G232" t="str">
        <f>"06335"</f>
        <v>06335</v>
      </c>
      <c r="H232" t="str">
        <f>"8604640288"</f>
        <v>8604640288</v>
      </c>
      <c r="I232" t="str">
        <f t="shared" si="23"/>
        <v>ENGLISH</v>
      </c>
    </row>
    <row r="233" spans="1:9" x14ac:dyDescent="0.3">
      <c r="A233" t="str">
        <f t="shared" si="22"/>
        <v>CONNECTICUT CVS PHARMACY, LLC</v>
      </c>
      <c r="B233" t="str">
        <f t="shared" si="21"/>
        <v>Pharmacy</v>
      </c>
      <c r="C233" t="str">
        <f>"11 FOREST STREET"</f>
        <v>11 FOREST STREET</v>
      </c>
      <c r="D233" t="str">
        <f>""</f>
        <v/>
      </c>
      <c r="E233" t="str">
        <f>"STAMFORD"</f>
        <v>STAMFORD</v>
      </c>
      <c r="F233" t="str">
        <f t="shared" si="24"/>
        <v>CT</v>
      </c>
      <c r="G233" t="str">
        <f>"06901"</f>
        <v>06901</v>
      </c>
      <c r="H233" t="str">
        <f>"2033630627"</f>
        <v>2033630627</v>
      </c>
      <c r="I233" t="str">
        <f t="shared" si="23"/>
        <v>ENGLISH</v>
      </c>
    </row>
    <row r="234" spans="1:9" x14ac:dyDescent="0.3">
      <c r="A234" t="str">
        <f t="shared" si="22"/>
        <v>CONNECTICUT CVS PHARMACY, LLC</v>
      </c>
      <c r="B234" t="str">
        <f t="shared" si="21"/>
        <v>Pharmacy</v>
      </c>
      <c r="C234" t="str">
        <f>"111 ALBANY TURNPIKE"</f>
        <v>111 ALBANY TURNPIKE</v>
      </c>
      <c r="D234" t="str">
        <f>""</f>
        <v/>
      </c>
      <c r="E234" t="str">
        <f>"CANTON"</f>
        <v>CANTON</v>
      </c>
      <c r="F234" t="str">
        <f t="shared" si="24"/>
        <v>CT</v>
      </c>
      <c r="G234" t="str">
        <f>"06019"</f>
        <v>06019</v>
      </c>
      <c r="H234" t="str">
        <f>"8606938077"</f>
        <v>8606938077</v>
      </c>
      <c r="I234" t="str">
        <f t="shared" si="23"/>
        <v>ENGLISH</v>
      </c>
    </row>
    <row r="235" spans="1:9" x14ac:dyDescent="0.3">
      <c r="A235" t="str">
        <f>"CONNECTICUT CVS PHARMACY, LLC D/B/A CVS PHARMACY"</f>
        <v>CONNECTICUT CVS PHARMACY, LLC D/B/A CVS PHARMACY</v>
      </c>
      <c r="B235" t="str">
        <f t="shared" si="21"/>
        <v>Pharmacy</v>
      </c>
      <c r="C235" t="str">
        <f>"1200 MAIN STREET"</f>
        <v>1200 MAIN STREET</v>
      </c>
      <c r="D235" t="str">
        <f>""</f>
        <v/>
      </c>
      <c r="E235" t="str">
        <f>"WILLIMANTIC"</f>
        <v>WILLIMANTIC</v>
      </c>
      <c r="F235" t="str">
        <f t="shared" si="24"/>
        <v>CT</v>
      </c>
      <c r="G235" t="str">
        <f>"06226"</f>
        <v>06226</v>
      </c>
      <c r="H235" t="str">
        <f>"8604565931"</f>
        <v>8604565931</v>
      </c>
      <c r="I235" t="str">
        <f t="shared" si="23"/>
        <v>ENGLISH</v>
      </c>
    </row>
    <row r="236" spans="1:9" x14ac:dyDescent="0.3">
      <c r="A236" t="str">
        <f>"CONNECTICUT CVS PHARMACY, LLC D/B/A CVS PHARMACY"</f>
        <v>CONNECTICUT CVS PHARMACY, LLC D/B/A CVS PHARMACY</v>
      </c>
      <c r="B236" t="str">
        <f t="shared" si="21"/>
        <v>Pharmacy</v>
      </c>
      <c r="C236" t="str">
        <f>"110 MAIN STREET"</f>
        <v>110 MAIN STREET</v>
      </c>
      <c r="D236" t="str">
        <f>""</f>
        <v/>
      </c>
      <c r="E236" t="str">
        <f>"HEBRON"</f>
        <v>HEBRON</v>
      </c>
      <c r="F236" t="str">
        <f t="shared" si="24"/>
        <v>CT</v>
      </c>
      <c r="G236" t="str">
        <f>"06248"</f>
        <v>06248</v>
      </c>
      <c r="H236" t="str">
        <f>"8602283888"</f>
        <v>8602283888</v>
      </c>
      <c r="I236" t="str">
        <f t="shared" si="23"/>
        <v>ENGLISH</v>
      </c>
    </row>
    <row r="237" spans="1:9" x14ac:dyDescent="0.3">
      <c r="A237" t="str">
        <f>"CONNECTICUT CVS PHARMACY, LLC D/B/A CVS PHARMACY"</f>
        <v>CONNECTICUT CVS PHARMACY, LLC D/B/A CVS PHARMACY</v>
      </c>
      <c r="B237" t="str">
        <f t="shared" si="21"/>
        <v>Pharmacy</v>
      </c>
      <c r="C237" t="str">
        <f>"94 PARK ST"</f>
        <v>94 PARK ST</v>
      </c>
      <c r="D237" t="str">
        <f>""</f>
        <v/>
      </c>
      <c r="E237" t="str">
        <f>"NEW CANAAN"</f>
        <v>NEW CANAAN</v>
      </c>
      <c r="F237" t="str">
        <f t="shared" si="24"/>
        <v>CT</v>
      </c>
      <c r="G237" t="str">
        <f>"06840"</f>
        <v>06840</v>
      </c>
      <c r="H237" t="str">
        <f>"2039666758"</f>
        <v>2039666758</v>
      </c>
      <c r="I237" t="str">
        <f t="shared" si="23"/>
        <v>ENGLISH</v>
      </c>
    </row>
    <row r="238" spans="1:9" x14ac:dyDescent="0.3">
      <c r="A238" t="str">
        <f>"CONNECTICUT CVS PHARMACY, LLC D/B/A CVS PHARMACY#"</f>
        <v>CONNECTICUT CVS PHARMACY, LLC D/B/A CVS PHARMACY#</v>
      </c>
      <c r="B238" t="str">
        <f t="shared" si="21"/>
        <v>Pharmacy</v>
      </c>
      <c r="C238" t="str">
        <f>"177 COLUMBUS BOULEVARD"</f>
        <v>177 COLUMBUS BOULEVARD</v>
      </c>
      <c r="D238" t="str">
        <f>""</f>
        <v/>
      </c>
      <c r="E238" t="str">
        <f>"NEW BRITAIN"</f>
        <v>NEW BRITAIN</v>
      </c>
      <c r="F238" t="str">
        <f t="shared" si="24"/>
        <v>CT</v>
      </c>
      <c r="G238" t="str">
        <f>"06051"</f>
        <v>06051</v>
      </c>
      <c r="H238" t="str">
        <f>"8602293757"</f>
        <v>8602293757</v>
      </c>
      <c r="I238" t="str">
        <f t="shared" si="23"/>
        <v>ENGLISH</v>
      </c>
    </row>
    <row r="239" spans="1:9" x14ac:dyDescent="0.3">
      <c r="A239" t="str">
        <f>"CONNECTICUT CVS PHARMACY, LLC D/B/A CVS PHARMACY#"</f>
        <v>CONNECTICUT CVS PHARMACY, LLC D/B/A CVS PHARMACY#</v>
      </c>
      <c r="B239" t="str">
        <f t="shared" si="21"/>
        <v>Pharmacy</v>
      </c>
      <c r="C239" t="str">
        <f>"972 SILVER LANE"</f>
        <v>972 SILVER LANE</v>
      </c>
      <c r="D239" t="str">
        <f>""</f>
        <v/>
      </c>
      <c r="E239" t="str">
        <f>"EAST HARTFORD"</f>
        <v>EAST HARTFORD</v>
      </c>
      <c r="F239" t="str">
        <f t="shared" si="24"/>
        <v>CT</v>
      </c>
      <c r="G239" t="str">
        <f>"06118"</f>
        <v>06118</v>
      </c>
      <c r="H239" t="str">
        <f>"8605690888"</f>
        <v>8605690888</v>
      </c>
      <c r="I239" t="str">
        <f t="shared" si="23"/>
        <v>ENGLISH</v>
      </c>
    </row>
    <row r="240" spans="1:9" x14ac:dyDescent="0.3">
      <c r="A240" t="str">
        <f>"CONNECTICUT CVS PHARMACY, LLC."</f>
        <v>CONNECTICUT CVS PHARMACY, LLC.</v>
      </c>
      <c r="B240" t="str">
        <f t="shared" si="21"/>
        <v>Pharmacy</v>
      </c>
      <c r="C240" t="str">
        <f>"45 S MAIN ST"</f>
        <v>45 S MAIN ST</v>
      </c>
      <c r="D240" t="str">
        <f>""</f>
        <v/>
      </c>
      <c r="E240" t="str">
        <f>"UNIONVILLE"</f>
        <v>UNIONVILLE</v>
      </c>
      <c r="F240" t="str">
        <f t="shared" si="24"/>
        <v>CT</v>
      </c>
      <c r="G240" t="str">
        <f>"06085"</f>
        <v>06085</v>
      </c>
      <c r="H240" t="str">
        <f>"8606759210"</f>
        <v>8606759210</v>
      </c>
      <c r="I240" t="str">
        <f t="shared" si="23"/>
        <v>ENGLISH</v>
      </c>
    </row>
    <row r="241" spans="1:9" x14ac:dyDescent="0.3">
      <c r="A241" t="str">
        <f>"CONNECTICUT PHARMACY EAST ROCK LTC,LLC"</f>
        <v>CONNECTICUT PHARMACY EAST ROCK LTC,LLC</v>
      </c>
      <c r="B241" t="str">
        <f t="shared" si="21"/>
        <v>Pharmacy</v>
      </c>
      <c r="C241" t="str">
        <f>"10 FAIRFIELD BLVD"</f>
        <v>10 FAIRFIELD BLVD</v>
      </c>
      <c r="D241" t="str">
        <f>"UNIT C2"</f>
        <v>UNIT C2</v>
      </c>
      <c r="E241" t="str">
        <f>"WALLINGFORD"</f>
        <v>WALLINGFORD</v>
      </c>
      <c r="F241" t="str">
        <f t="shared" si="24"/>
        <v>CT</v>
      </c>
      <c r="G241" t="str">
        <f>"06492"</f>
        <v>06492</v>
      </c>
      <c r="H241" t="str">
        <f>"2035181146"</f>
        <v>2035181146</v>
      </c>
      <c r="I241" t="str">
        <f>"CHINESE;ENGLISH;PORTUGUESE;SPANISH"</f>
        <v>CHINESE;ENGLISH;PORTUGUESE;SPANISH</v>
      </c>
    </row>
    <row r="242" spans="1:9" x14ac:dyDescent="0.3">
      <c r="A242" t="str">
        <f>"CONNECTICUT PHARMACY LLC"</f>
        <v>CONNECTICUT PHARMACY LLC</v>
      </c>
      <c r="B242" t="str">
        <f t="shared" si="21"/>
        <v>Pharmacy</v>
      </c>
      <c r="C242" t="str">
        <f>"664 MAIN AVE"</f>
        <v>664 MAIN AVE</v>
      </c>
      <c r="D242" t="str">
        <f>"SUITE B-102"</f>
        <v>SUITE B-102</v>
      </c>
      <c r="E242" t="str">
        <f>"NORWALK"</f>
        <v>NORWALK</v>
      </c>
      <c r="F242" t="str">
        <f t="shared" si="24"/>
        <v>CT</v>
      </c>
      <c r="G242" t="str">
        <f>"06851"</f>
        <v>06851</v>
      </c>
      <c r="H242" t="str">
        <f>"2039391789"</f>
        <v>2039391789</v>
      </c>
      <c r="I242" t="str">
        <f>"CREOLES AND PIDGINS, FRENCH-BASED (OTHER);ENGLISH;KOREAN;POLISH;PORTUGUESE;RUSSIAN;SPANISH"</f>
        <v>CREOLES AND PIDGINS, FRENCH-BASED (OTHER);ENGLISH;KOREAN;POLISH;PORTUGUESE;RUSSIAN;SPANISH</v>
      </c>
    </row>
    <row r="243" spans="1:9" x14ac:dyDescent="0.3">
      <c r="A243" t="str">
        <f>"CORAM ALTERNATE SITE SERVICES, INC."</f>
        <v>CORAM ALTERNATE SITE SERVICES, INC.</v>
      </c>
      <c r="B243" t="str">
        <f t="shared" si="21"/>
        <v>Pharmacy</v>
      </c>
      <c r="C243" t="str">
        <f>"6 SPRING MILL DR."</f>
        <v>6 SPRING MILL DR.</v>
      </c>
      <c r="D243" t="str">
        <f>""</f>
        <v/>
      </c>
      <c r="E243" t="str">
        <f>"MALVERN"</f>
        <v>MALVERN</v>
      </c>
      <c r="F243" t="str">
        <f>"PA"</f>
        <v>PA</v>
      </c>
      <c r="G243" t="str">
        <f>"19355"</f>
        <v>19355</v>
      </c>
      <c r="H243" t="str">
        <f>"8009475837"</f>
        <v>8009475837</v>
      </c>
      <c r="I243" t="str">
        <f>"ENGLISH;POLISH;PORTUGUESE;RUSSIAN;SPANISH"</f>
        <v>ENGLISH;POLISH;PORTUGUESE;RUSSIAN;SPANISH</v>
      </c>
    </row>
    <row r="244" spans="1:9" x14ac:dyDescent="0.3">
      <c r="A244" t="str">
        <f>"CORNELL SCOTT-HILL HEALTH CORPORATION"</f>
        <v>CORNELL SCOTT-HILL HEALTH CORPORATION</v>
      </c>
      <c r="B244" t="str">
        <f t="shared" si="21"/>
        <v>Pharmacy</v>
      </c>
      <c r="C244" t="str">
        <f>"428 COLUMBUS AVENUE"</f>
        <v>428 COLUMBUS AVENUE</v>
      </c>
      <c r="D244" t="str">
        <f>"HILL HEALTH PHARMACY"</f>
        <v>HILL HEALTH PHARMACY</v>
      </c>
      <c r="E244" t="str">
        <f>"NEW HAVEN"</f>
        <v>NEW HAVEN</v>
      </c>
      <c r="F244" t="str">
        <f t="shared" ref="F244:F255" si="25">"CT"</f>
        <v>CT</v>
      </c>
      <c r="G244" t="str">
        <f>"06519"</f>
        <v>06519</v>
      </c>
      <c r="H244" t="str">
        <f>"2035033021"</f>
        <v>2035033021</v>
      </c>
      <c r="I244" t="str">
        <f>"ENGLISH;SPANISH"</f>
        <v>ENGLISH;SPANISH</v>
      </c>
    </row>
    <row r="245" spans="1:9" x14ac:dyDescent="0.3">
      <c r="A245" t="str">
        <f>"CORNELL SCOTT-HILL HEALTH CORPORATION"</f>
        <v>CORNELL SCOTT-HILL HEALTH CORPORATION</v>
      </c>
      <c r="B245" t="str">
        <f t="shared" si="21"/>
        <v>Pharmacy</v>
      </c>
      <c r="C245" t="str">
        <f>"428 COLUMBUS AVENUE"</f>
        <v>428 COLUMBUS AVENUE</v>
      </c>
      <c r="D245" t="str">
        <f>"HILL HEALTH PHARMACY 340B"</f>
        <v>HILL HEALTH PHARMACY 340B</v>
      </c>
      <c r="E245" t="str">
        <f>"NEW HAVEN"</f>
        <v>NEW HAVEN</v>
      </c>
      <c r="F245" t="str">
        <f t="shared" si="25"/>
        <v>CT</v>
      </c>
      <c r="G245" t="str">
        <f>"06519"</f>
        <v>06519</v>
      </c>
      <c r="H245" t="str">
        <f>"2035033253"</f>
        <v>2035033253</v>
      </c>
      <c r="I245" t="str">
        <f>"ENGLISH;SPANISH"</f>
        <v>ENGLISH;SPANISH</v>
      </c>
    </row>
    <row r="246" spans="1:9" x14ac:dyDescent="0.3">
      <c r="A246" t="str">
        <f>"CORPORATE PHARMACY CORP"</f>
        <v>CORPORATE PHARMACY CORP</v>
      </c>
      <c r="B246" t="str">
        <f t="shared" si="21"/>
        <v>Pharmacy</v>
      </c>
      <c r="C246" t="str">
        <f>"4-CORPORATE DRIVE, SUITE 198"</f>
        <v>4-CORPORATE DRIVE, SUITE 198</v>
      </c>
      <c r="D246" t="str">
        <f>""</f>
        <v/>
      </c>
      <c r="E246" t="str">
        <f>"SHELTON"</f>
        <v>SHELTON</v>
      </c>
      <c r="F246" t="str">
        <f t="shared" si="25"/>
        <v>CT</v>
      </c>
      <c r="G246" t="str">
        <f>"06484"</f>
        <v>06484</v>
      </c>
      <c r="H246" t="str">
        <f>"2035385008"</f>
        <v>2035385008</v>
      </c>
      <c r="I246" t="str">
        <f>"ENGLISH;SPANISH"</f>
        <v>ENGLISH;SPANISH</v>
      </c>
    </row>
    <row r="247" spans="1:9" x14ac:dyDescent="0.3">
      <c r="A247" t="str">
        <f t="shared" ref="A247:A254" si="26">"COSTCO WHOLESALE CORPORATION"</f>
        <v>COSTCO WHOLESALE CORPORATION</v>
      </c>
      <c r="B247" t="str">
        <f t="shared" si="21"/>
        <v>Pharmacy</v>
      </c>
      <c r="C247" t="str">
        <f>"200 FEDERAL RD"</f>
        <v>200 FEDERAL RD</v>
      </c>
      <c r="D247" t="str">
        <f>""</f>
        <v/>
      </c>
      <c r="E247" t="str">
        <f>"BROOKFIELD"</f>
        <v>BROOKFIELD</v>
      </c>
      <c r="F247" t="str">
        <f t="shared" si="25"/>
        <v>CT</v>
      </c>
      <c r="G247" t="str">
        <f>"06804"</f>
        <v>06804</v>
      </c>
      <c r="H247" t="str">
        <f>"2037407965"</f>
        <v>2037407965</v>
      </c>
      <c r="I247" t="str">
        <f t="shared" ref="I247:I254" si="27">"ENGLISH;POLISH;PORTUGUESE;RUSSIAN;SPANISH"</f>
        <v>ENGLISH;POLISH;PORTUGUESE;RUSSIAN;SPANISH</v>
      </c>
    </row>
    <row r="248" spans="1:9" x14ac:dyDescent="0.3">
      <c r="A248" t="str">
        <f t="shared" si="26"/>
        <v>COSTCO WHOLESALE CORPORATION</v>
      </c>
      <c r="B248" t="str">
        <f t="shared" si="21"/>
        <v>Pharmacy</v>
      </c>
      <c r="C248" t="str">
        <f>"3600 E MAIN ST"</f>
        <v>3600 E MAIN ST</v>
      </c>
      <c r="D248" t="str">
        <f>""</f>
        <v/>
      </c>
      <c r="E248" t="str">
        <f>"WATERBURY"</f>
        <v>WATERBURY</v>
      </c>
      <c r="F248" t="str">
        <f t="shared" si="25"/>
        <v>CT</v>
      </c>
      <c r="G248" t="str">
        <f>"06705"</f>
        <v>06705</v>
      </c>
      <c r="H248" t="str">
        <f>"2037579115"</f>
        <v>2037579115</v>
      </c>
      <c r="I248" t="str">
        <f t="shared" si="27"/>
        <v>ENGLISH;POLISH;PORTUGUESE;RUSSIAN;SPANISH</v>
      </c>
    </row>
    <row r="249" spans="1:9" x14ac:dyDescent="0.3">
      <c r="A249" t="str">
        <f t="shared" si="26"/>
        <v>COSTCO WHOLESALE CORPORATION</v>
      </c>
      <c r="B249" t="str">
        <f t="shared" si="21"/>
        <v>Pharmacy</v>
      </c>
      <c r="C249" t="str">
        <f>"1718 BOSTON POST RD"</f>
        <v>1718 BOSTON POST RD</v>
      </c>
      <c r="D249" t="str">
        <f>""</f>
        <v/>
      </c>
      <c r="E249" t="str">
        <f>"MILFORD"</f>
        <v>MILFORD</v>
      </c>
      <c r="F249" t="str">
        <f t="shared" si="25"/>
        <v>CT</v>
      </c>
      <c r="G249" t="str">
        <f>"06460"</f>
        <v>06460</v>
      </c>
      <c r="H249" t="str">
        <f>"2037013051"</f>
        <v>2037013051</v>
      </c>
      <c r="I249" t="str">
        <f t="shared" si="27"/>
        <v>ENGLISH;POLISH;PORTUGUESE;RUSSIAN;SPANISH</v>
      </c>
    </row>
    <row r="250" spans="1:9" x14ac:dyDescent="0.3">
      <c r="A250" t="str">
        <f t="shared" si="26"/>
        <v>COSTCO WHOLESALE CORPORATION</v>
      </c>
      <c r="B250" t="str">
        <f t="shared" si="21"/>
        <v>Pharmacy</v>
      </c>
      <c r="C250" t="str">
        <f>"75 FRESHWATER BLVD"</f>
        <v>75 FRESHWATER BLVD</v>
      </c>
      <c r="D250" t="str">
        <f>""</f>
        <v/>
      </c>
      <c r="E250" t="str">
        <f>"ENFIELD"</f>
        <v>ENFIELD</v>
      </c>
      <c r="F250" t="str">
        <f t="shared" si="25"/>
        <v>CT</v>
      </c>
      <c r="G250" t="str">
        <f>"06082"</f>
        <v>06082</v>
      </c>
      <c r="H250" t="str">
        <f>"8603942028"</f>
        <v>8603942028</v>
      </c>
      <c r="I250" t="str">
        <f t="shared" si="27"/>
        <v>ENGLISH;POLISH;PORTUGUESE;RUSSIAN;SPANISH</v>
      </c>
    </row>
    <row r="251" spans="1:9" x14ac:dyDescent="0.3">
      <c r="A251" t="str">
        <f t="shared" si="26"/>
        <v>COSTCO WHOLESALE CORPORATION</v>
      </c>
      <c r="B251" t="str">
        <f t="shared" si="21"/>
        <v>Pharmacy</v>
      </c>
      <c r="C251" t="str">
        <f>"779 CONNECTICUT AVE"</f>
        <v>779 CONNECTICUT AVE</v>
      </c>
      <c r="D251" t="str">
        <f>""</f>
        <v/>
      </c>
      <c r="E251" t="str">
        <f>"NORWALK"</f>
        <v>NORWALK</v>
      </c>
      <c r="F251" t="str">
        <f t="shared" si="25"/>
        <v>CT</v>
      </c>
      <c r="G251" t="str">
        <f>"06854"</f>
        <v>06854</v>
      </c>
      <c r="H251" t="str">
        <f>"2038222002"</f>
        <v>2038222002</v>
      </c>
      <c r="I251" t="str">
        <f t="shared" si="27"/>
        <v>ENGLISH;POLISH;PORTUGUESE;RUSSIAN;SPANISH</v>
      </c>
    </row>
    <row r="252" spans="1:9" x14ac:dyDescent="0.3">
      <c r="A252" t="str">
        <f t="shared" si="26"/>
        <v>COSTCO WHOLESALE CORPORATION</v>
      </c>
      <c r="B252" t="str">
        <f t="shared" si="21"/>
        <v>Pharmacy</v>
      </c>
      <c r="C252" t="str">
        <f>"405 HARTFORD DRIVE"</f>
        <v>405 HARTFORD DRIVE</v>
      </c>
      <c r="D252" t="str">
        <f>""</f>
        <v/>
      </c>
      <c r="E252" t="str">
        <f>"NEW BRITAIN"</f>
        <v>NEW BRITAIN</v>
      </c>
      <c r="F252" t="str">
        <f t="shared" si="25"/>
        <v>CT</v>
      </c>
      <c r="G252" t="str">
        <f>"06053"</f>
        <v>06053</v>
      </c>
      <c r="H252" t="str">
        <f>"8608937011"</f>
        <v>8608937011</v>
      </c>
      <c r="I252" t="str">
        <f t="shared" si="27"/>
        <v>ENGLISH;POLISH;PORTUGUESE;RUSSIAN;SPANISH</v>
      </c>
    </row>
    <row r="253" spans="1:9" x14ac:dyDescent="0.3">
      <c r="A253" t="str">
        <f t="shared" si="26"/>
        <v>COSTCO WHOLESALE CORPORATION</v>
      </c>
      <c r="B253" t="str">
        <f t="shared" si="21"/>
        <v>Pharmacy</v>
      </c>
      <c r="C253" t="str">
        <f>"284 FLANDERS ROAD"</f>
        <v>284 FLANDERS ROAD</v>
      </c>
      <c r="D253" t="str">
        <f>""</f>
        <v/>
      </c>
      <c r="E253" t="str">
        <f>"EAST LYME"</f>
        <v>EAST LYME</v>
      </c>
      <c r="F253" t="str">
        <f t="shared" si="25"/>
        <v>CT</v>
      </c>
      <c r="G253" t="str">
        <f>"06333"</f>
        <v>06333</v>
      </c>
      <c r="H253" t="str">
        <f>"8606919657"</f>
        <v>8606919657</v>
      </c>
      <c r="I253" t="str">
        <f t="shared" si="27"/>
        <v>ENGLISH;POLISH;PORTUGUESE;RUSSIAN;SPANISH</v>
      </c>
    </row>
    <row r="254" spans="1:9" x14ac:dyDescent="0.3">
      <c r="A254" t="str">
        <f t="shared" si="26"/>
        <v>COSTCO WHOLESALE CORPORATION</v>
      </c>
      <c r="B254" t="str">
        <f t="shared" si="21"/>
        <v>Pharmacy</v>
      </c>
      <c r="C254" t="str">
        <f>"1220 TAMARACK AVE"</f>
        <v>1220 TAMARACK AVE</v>
      </c>
      <c r="D254" t="str">
        <f>""</f>
        <v/>
      </c>
      <c r="E254" t="str">
        <f>"SOUTH WINDSOR"</f>
        <v>SOUTH WINDSOR</v>
      </c>
      <c r="F254" t="str">
        <f t="shared" si="25"/>
        <v>CT</v>
      </c>
      <c r="G254" t="str">
        <f>"06074"</f>
        <v>06074</v>
      </c>
      <c r="H254" t="str">
        <f>"8604744041"</f>
        <v>8604744041</v>
      </c>
      <c r="I254" t="str">
        <f t="shared" si="27"/>
        <v>ENGLISH;POLISH;PORTUGUESE;RUSSIAN;SPANISH</v>
      </c>
    </row>
    <row r="255" spans="1:9" x14ac:dyDescent="0.3">
      <c r="A255" t="str">
        <f>"CPH HARTFORD LLC"</f>
        <v>CPH HARTFORD LLC</v>
      </c>
      <c r="B255" t="str">
        <f t="shared" si="21"/>
        <v>Pharmacy</v>
      </c>
      <c r="C255" t="str">
        <f>"255 PITKIN STREET"</f>
        <v>255 PITKIN STREET</v>
      </c>
      <c r="D255" t="str">
        <f>"SUITE 2"</f>
        <v>SUITE 2</v>
      </c>
      <c r="E255" t="str">
        <f>"EAST HARTFORD"</f>
        <v>EAST HARTFORD</v>
      </c>
      <c r="F255" t="str">
        <f t="shared" si="25"/>
        <v>CT</v>
      </c>
      <c r="G255" t="str">
        <f>"06108"</f>
        <v>06108</v>
      </c>
      <c r="H255" t="str">
        <f>"8603275200"</f>
        <v>8603275200</v>
      </c>
      <c r="I255" t="str">
        <f>"ENGLISH"</f>
        <v>ENGLISH</v>
      </c>
    </row>
    <row r="256" spans="1:9" x14ac:dyDescent="0.3">
      <c r="A256" t="str">
        <f>"CRESCENT HEALTHCARE"</f>
        <v>CRESCENT HEALTHCARE</v>
      </c>
      <c r="B256" t="str">
        <f t="shared" si="21"/>
        <v>Pharmacy</v>
      </c>
      <c r="C256" t="str">
        <f>"11980 TELEGRAPH RD. STE 102"</f>
        <v>11980 TELEGRAPH RD. STE 102</v>
      </c>
      <c r="D256" t="str">
        <f>""</f>
        <v/>
      </c>
      <c r="E256" t="str">
        <f>"SANTA FE SPRINGS"</f>
        <v>SANTA FE SPRINGS</v>
      </c>
      <c r="F256" t="str">
        <f>"CA"</f>
        <v>CA</v>
      </c>
      <c r="G256" t="str">
        <f>"90670"</f>
        <v>90670</v>
      </c>
      <c r="H256" t="str">
        <f>"5623472800"</f>
        <v>5623472800</v>
      </c>
      <c r="I256" t="str">
        <f>"CHINESE;ENGLISH;SPANISH;TAGALOG"</f>
        <v>CHINESE;ENGLISH;SPANISH;TAGALOG</v>
      </c>
    </row>
    <row r="257" spans="1:9" x14ac:dyDescent="0.3">
      <c r="A257" t="str">
        <f>"CROMWELL MARKETS LLC"</f>
        <v>CROMWELL MARKETS LLC</v>
      </c>
      <c r="B257" t="str">
        <f t="shared" si="21"/>
        <v>Pharmacy</v>
      </c>
      <c r="C257" t="str">
        <f>"45 SHUNPIKE RD"</f>
        <v>45 SHUNPIKE RD</v>
      </c>
      <c r="D257" t="str">
        <f>""</f>
        <v/>
      </c>
      <c r="E257" t="str">
        <f>"CROMWELL"</f>
        <v>CROMWELL</v>
      </c>
      <c r="F257" t="str">
        <f>"CT"</f>
        <v>CT</v>
      </c>
      <c r="G257" t="str">
        <f>"06416"</f>
        <v>06416</v>
      </c>
      <c r="H257" t="str">
        <f>"8606130741"</f>
        <v>8606130741</v>
      </c>
      <c r="I257" t="str">
        <f>"ENGLISH"</f>
        <v>ENGLISH</v>
      </c>
    </row>
    <row r="258" spans="1:9" x14ac:dyDescent="0.3">
      <c r="A258" t="str">
        <f>"CT HEALTH CARE SERVICES"</f>
        <v>CT HEALTH CARE SERVICES</v>
      </c>
      <c r="B258" t="str">
        <f t="shared" ref="B258:B321" si="28">"Pharmacy"</f>
        <v>Pharmacy</v>
      </c>
      <c r="C258" t="str">
        <f>"46 BROAD ST"</f>
        <v>46 BROAD ST</v>
      </c>
      <c r="D258" t="str">
        <f>""</f>
        <v/>
      </c>
      <c r="E258" t="str">
        <f>"NEW BRITAIN"</f>
        <v>NEW BRITAIN</v>
      </c>
      <c r="F258" t="str">
        <f>"CT"</f>
        <v>CT</v>
      </c>
      <c r="G258" t="str">
        <f>"06053"</f>
        <v>06053</v>
      </c>
      <c r="H258" t="str">
        <f>"8602230522"</f>
        <v>8602230522</v>
      </c>
      <c r="I258" t="str">
        <f>"ENGLISH;POLISH;SPANISH"</f>
        <v>ENGLISH;POLISH;SPANISH</v>
      </c>
    </row>
    <row r="259" spans="1:9" x14ac:dyDescent="0.3">
      <c r="A259" t="str">
        <f>"CURANT HEALTH GEORGIA, LLC"</f>
        <v>CURANT HEALTH GEORGIA, LLC</v>
      </c>
      <c r="B259" t="str">
        <f t="shared" si="28"/>
        <v>Pharmacy</v>
      </c>
      <c r="C259" t="str">
        <f>"200 TECHNOLOGY COURT SE"</f>
        <v>200 TECHNOLOGY COURT SE</v>
      </c>
      <c r="D259" t="str">
        <f>"STE B"</f>
        <v>STE B</v>
      </c>
      <c r="E259" t="str">
        <f>"SMYRNA"</f>
        <v>SMYRNA</v>
      </c>
      <c r="F259" t="str">
        <f>"GA"</f>
        <v>GA</v>
      </c>
      <c r="G259" t="str">
        <f>"30082"</f>
        <v>30082</v>
      </c>
      <c r="H259" t="str">
        <f>"8664378040"</f>
        <v>8664378040</v>
      </c>
      <c r="I259" t="str">
        <f>"ENGLISH;SPANISH"</f>
        <v>ENGLISH;SPANISH</v>
      </c>
    </row>
    <row r="260" spans="1:9" x14ac:dyDescent="0.3">
      <c r="A260" t="str">
        <f>"CVS MANCHESTER NH, LLC D/B/A CVS PHARMACY# 02229"</f>
        <v>CVS MANCHESTER NH, LLC D/B/A CVS PHARMACY# 02229</v>
      </c>
      <c r="B260" t="str">
        <f t="shared" si="28"/>
        <v>Pharmacy</v>
      </c>
      <c r="C260" t="str">
        <f>"345 HIGHLAND STREET"</f>
        <v>345 HIGHLAND STREET</v>
      </c>
      <c r="D260" t="str">
        <f>""</f>
        <v/>
      </c>
      <c r="E260" t="str">
        <f>"PLYMOUTH"</f>
        <v>PLYMOUTH</v>
      </c>
      <c r="F260" t="str">
        <f>"NH"</f>
        <v>NH</v>
      </c>
      <c r="G260" t="str">
        <f>"03264"</f>
        <v>03264</v>
      </c>
      <c r="H260" t="str">
        <f>"6035364079"</f>
        <v>6035364079</v>
      </c>
      <c r="I260" t="str">
        <f>"ENGLISH"</f>
        <v>ENGLISH</v>
      </c>
    </row>
    <row r="261" spans="1:9" x14ac:dyDescent="0.3">
      <c r="A261" t="str">
        <f>"CVS PHARMACY, INC"</f>
        <v>CVS PHARMACY, INC</v>
      </c>
      <c r="B261" t="str">
        <f t="shared" si="28"/>
        <v>Pharmacy</v>
      </c>
      <c r="C261" t="str">
        <f>"350 LONGWOOD AVENUE"</f>
        <v>350 LONGWOOD AVENUE</v>
      </c>
      <c r="D261" t="str">
        <f>""</f>
        <v/>
      </c>
      <c r="E261" t="str">
        <f>"BOSTON"</f>
        <v>BOSTON</v>
      </c>
      <c r="F261" t="str">
        <f>"MA"</f>
        <v>MA</v>
      </c>
      <c r="G261" t="str">
        <f>"02215"</f>
        <v>02215</v>
      </c>
      <c r="H261" t="str">
        <f>"6177315753"</f>
        <v>6177315753</v>
      </c>
      <c r="I261" t="str">
        <f>"ENGLISH"</f>
        <v>ENGLISH</v>
      </c>
    </row>
    <row r="262" spans="1:9" x14ac:dyDescent="0.3">
      <c r="A262" t="str">
        <f>"CVS PHARMACY, INC."</f>
        <v>CVS PHARMACY, INC.</v>
      </c>
      <c r="B262" t="str">
        <f t="shared" si="28"/>
        <v>Pharmacy</v>
      </c>
      <c r="C262" t="str">
        <f>"362 MAIN STREET"</f>
        <v>362 MAIN STREET</v>
      </c>
      <c r="D262" t="str">
        <f>"SUITE 2"</f>
        <v>SUITE 2</v>
      </c>
      <c r="E262" t="str">
        <f>"GREAT BARRINGTON"</f>
        <v>GREAT BARRINGTON</v>
      </c>
      <c r="F262" t="str">
        <f>"MA"</f>
        <v>MA</v>
      </c>
      <c r="G262" t="str">
        <f>"01230"</f>
        <v>01230</v>
      </c>
      <c r="H262" t="str">
        <f>"4135282860"</f>
        <v>4135282860</v>
      </c>
      <c r="I262" t="str">
        <f>"ENGLISH"</f>
        <v>ENGLISH</v>
      </c>
    </row>
    <row r="263" spans="1:9" x14ac:dyDescent="0.3">
      <c r="A263" t="str">
        <f>"CX PHARMACY CORP"</f>
        <v>CX PHARMACY CORP</v>
      </c>
      <c r="B263" t="str">
        <f t="shared" si="28"/>
        <v>Pharmacy</v>
      </c>
      <c r="C263" t="str">
        <f>"110 COMMERCE DRIVE, SUITE 250"</f>
        <v>110 COMMERCE DRIVE, SUITE 250</v>
      </c>
      <c r="D263" t="str">
        <f>""</f>
        <v/>
      </c>
      <c r="E263" t="str">
        <f>"SHELTON"</f>
        <v>SHELTON</v>
      </c>
      <c r="F263" t="str">
        <f>"CT"</f>
        <v>CT</v>
      </c>
      <c r="G263" t="str">
        <f>"06484"</f>
        <v>06484</v>
      </c>
      <c r="H263" t="str">
        <f>"2035132474"</f>
        <v>2035132474</v>
      </c>
      <c r="I263" t="str">
        <f>"ENGLISH;SPANISH"</f>
        <v>ENGLISH;SPANISH</v>
      </c>
    </row>
    <row r="264" spans="1:9" x14ac:dyDescent="0.3">
      <c r="A264" t="str">
        <f>"CYSTIC FIBROSIS SERVICES LLC"</f>
        <v>CYSTIC FIBROSIS SERVICES LLC</v>
      </c>
      <c r="B264" t="str">
        <f t="shared" si="28"/>
        <v>Pharmacy</v>
      </c>
      <c r="C264" t="str">
        <f>"10530 JOHN W. ELLIOT DR"</f>
        <v>10530 JOHN W. ELLIOT DR</v>
      </c>
      <c r="D264" t="str">
        <f>"STE 200"</f>
        <v>STE 200</v>
      </c>
      <c r="E264" t="str">
        <f>"FRISCO"</f>
        <v>FRISCO</v>
      </c>
      <c r="F264" t="str">
        <f>"TX"</f>
        <v>TX</v>
      </c>
      <c r="G264" t="str">
        <f>"75033"</f>
        <v>75033</v>
      </c>
      <c r="H264" t="str">
        <f>"8005414959"</f>
        <v>8005414959</v>
      </c>
      <c r="I264" t="str">
        <f>"ENGLISH"</f>
        <v>ENGLISH</v>
      </c>
    </row>
    <row r="265" spans="1:9" x14ac:dyDescent="0.3">
      <c r="A265" t="str">
        <f>"D2RX, LLC"</f>
        <v>D2RX, LLC</v>
      </c>
      <c r="B265" t="str">
        <f t="shared" si="28"/>
        <v>Pharmacy</v>
      </c>
      <c r="C265" t="str">
        <f>"233 MAIN STREET"</f>
        <v>233 MAIN STREET</v>
      </c>
      <c r="D265" t="str">
        <f>""</f>
        <v/>
      </c>
      <c r="E265" t="str">
        <f>"NEW BRITAIN"</f>
        <v>NEW BRITAIN</v>
      </c>
      <c r="F265" t="str">
        <f t="shared" ref="F265:F273" si="29">"CT"</f>
        <v>CT</v>
      </c>
      <c r="G265" t="str">
        <f>"06051"</f>
        <v>06051</v>
      </c>
      <c r="H265" t="str">
        <f>"8603563270"</f>
        <v>8603563270</v>
      </c>
      <c r="I265" t="str">
        <f>"ENGLISH;SPANISH"</f>
        <v>ENGLISH;SPANISH</v>
      </c>
    </row>
    <row r="266" spans="1:9" x14ac:dyDescent="0.3">
      <c r="A266" t="str">
        <f>"D2RX, LLC"</f>
        <v>D2RX, LLC</v>
      </c>
      <c r="B266" t="str">
        <f t="shared" si="28"/>
        <v>Pharmacy</v>
      </c>
      <c r="C266" t="str">
        <f>"233 MAIN STREET"</f>
        <v>233 MAIN STREET</v>
      </c>
      <c r="D266" t="str">
        <f>""</f>
        <v/>
      </c>
      <c r="E266" t="str">
        <f>"NEW BRITAIN"</f>
        <v>NEW BRITAIN</v>
      </c>
      <c r="F266" t="str">
        <f t="shared" si="29"/>
        <v>CT</v>
      </c>
      <c r="G266" t="str">
        <f>"06051"</f>
        <v>06051</v>
      </c>
      <c r="H266" t="str">
        <f>"8603563270"</f>
        <v>8603563270</v>
      </c>
      <c r="I266" t="str">
        <f>"ENGLISH;SPANISH"</f>
        <v>ENGLISH;SPANISH</v>
      </c>
    </row>
    <row r="267" spans="1:9" x14ac:dyDescent="0.3">
      <c r="A267" t="str">
        <f>"DAILYMED PHARMACY LLC"</f>
        <v>DAILYMED PHARMACY LLC</v>
      </c>
      <c r="B267" t="str">
        <f t="shared" si="28"/>
        <v>Pharmacy</v>
      </c>
      <c r="C267" t="str">
        <f>"2366 MAIN ST"</f>
        <v>2366 MAIN ST</v>
      </c>
      <c r="D267" t="str">
        <f>""</f>
        <v/>
      </c>
      <c r="E267" t="str">
        <f>"BRIDGEPORT"</f>
        <v>BRIDGEPORT</v>
      </c>
      <c r="F267" t="str">
        <f t="shared" si="29"/>
        <v>CT</v>
      </c>
      <c r="G267" t="str">
        <f>"06606"</f>
        <v>06606</v>
      </c>
      <c r="H267" t="str">
        <f>"2036664000"</f>
        <v>2036664000</v>
      </c>
      <c r="I267" t="str">
        <f>"ENGLISH;SPANISH"</f>
        <v>ENGLISH;SPANISH</v>
      </c>
    </row>
    <row r="268" spans="1:9" x14ac:dyDescent="0.3">
      <c r="A268" t="str">
        <f>"DANBURY PHARMACY LLC"</f>
        <v>DANBURY PHARMACY LLC</v>
      </c>
      <c r="B268" t="str">
        <f t="shared" si="28"/>
        <v>Pharmacy</v>
      </c>
      <c r="C268" t="str">
        <f>"35 WHITE ST"</f>
        <v>35 WHITE ST</v>
      </c>
      <c r="D268" t="str">
        <f>"UNIT 5"</f>
        <v>UNIT 5</v>
      </c>
      <c r="E268" t="str">
        <f>"DANBURY"</f>
        <v>DANBURY</v>
      </c>
      <c r="F268" t="str">
        <f t="shared" si="29"/>
        <v>CT</v>
      </c>
      <c r="G268" t="str">
        <f>"06810"</f>
        <v>06810</v>
      </c>
      <c r="H268" t="str">
        <f>"2036799999"</f>
        <v>2036799999</v>
      </c>
      <c r="I268" t="str">
        <f>"ENGLISH;SPANISH"</f>
        <v>ENGLISH;SPANISH</v>
      </c>
    </row>
    <row r="269" spans="1:9" x14ac:dyDescent="0.3">
      <c r="A269" t="str">
        <f>"DANICO PRESCRIPTIONS INC."</f>
        <v>DANICO PRESCRIPTIONS INC.</v>
      </c>
      <c r="B269" t="str">
        <f t="shared" si="28"/>
        <v>Pharmacy</v>
      </c>
      <c r="C269" t="str">
        <f>"8 COLLINS RD"</f>
        <v>8 COLLINS RD</v>
      </c>
      <c r="D269" t="str">
        <f>""</f>
        <v/>
      </c>
      <c r="E269" t="str">
        <f>"BRISTOL"</f>
        <v>BRISTOL</v>
      </c>
      <c r="F269" t="str">
        <f t="shared" si="29"/>
        <v>CT</v>
      </c>
      <c r="G269" t="str">
        <f>"06010"</f>
        <v>06010</v>
      </c>
      <c r="H269" t="str">
        <f>"8605895587"</f>
        <v>8605895587</v>
      </c>
      <c r="I269" t="str">
        <f>"ENGLISH;POLISH;SPANISH"</f>
        <v>ENGLISH;POLISH;SPANISH</v>
      </c>
    </row>
    <row r="270" spans="1:9" x14ac:dyDescent="0.3">
      <c r="A270" t="str">
        <f>"DANIELSON PHARMACY"</f>
        <v>DANIELSON PHARMACY</v>
      </c>
      <c r="B270" t="str">
        <f t="shared" si="28"/>
        <v>Pharmacy</v>
      </c>
      <c r="C270" t="str">
        <f>"77 WESTCOTT RD."</f>
        <v>77 WESTCOTT RD.</v>
      </c>
      <c r="D270" t="str">
        <f>""</f>
        <v/>
      </c>
      <c r="E270" t="str">
        <f>"DANIELSON"</f>
        <v>DANIELSON</v>
      </c>
      <c r="F270" t="str">
        <f t="shared" si="29"/>
        <v>CT</v>
      </c>
      <c r="G270" t="str">
        <f>"06239"</f>
        <v>06239</v>
      </c>
      <c r="H270" t="str">
        <f>"8607740050"</f>
        <v>8607740050</v>
      </c>
      <c r="I270" t="str">
        <f>"ENGLISH"</f>
        <v>ENGLISH</v>
      </c>
    </row>
    <row r="271" spans="1:9" x14ac:dyDescent="0.3">
      <c r="A271" t="str">
        <f>"DCA INC DBA BEACON PRESCRIPTIONS"</f>
        <v>DCA INC DBA BEACON PRESCRIPTIONS</v>
      </c>
      <c r="B271" t="str">
        <f t="shared" si="28"/>
        <v>Pharmacy</v>
      </c>
      <c r="C271" t="str">
        <f>"609 N MAIN STREET"</f>
        <v>609 N MAIN STREET</v>
      </c>
      <c r="D271" t="str">
        <f>""</f>
        <v/>
      </c>
      <c r="E271" t="str">
        <f>"SOUTHINGTON"</f>
        <v>SOUTHINGTON</v>
      </c>
      <c r="F271" t="str">
        <f t="shared" si="29"/>
        <v>CT</v>
      </c>
      <c r="G271" t="str">
        <f>"06489"</f>
        <v>06489</v>
      </c>
      <c r="H271" t="str">
        <f>"8606283972"</f>
        <v>8606283972</v>
      </c>
      <c r="I271" t="str">
        <f>"ENGLISH;POLISH;SPANISH"</f>
        <v>ENGLISH;POLISH;SPANISH</v>
      </c>
    </row>
    <row r="272" spans="1:9" x14ac:dyDescent="0.3">
      <c r="A272" t="str">
        <f>"DEGROFF RX, LLC"</f>
        <v>DEGROFF RX, LLC</v>
      </c>
      <c r="B272" t="str">
        <f t="shared" si="28"/>
        <v>Pharmacy</v>
      </c>
      <c r="C272" t="str">
        <f>"543 WEST MAIN ST"</f>
        <v>543 WEST MAIN ST</v>
      </c>
      <c r="D272" t="str">
        <f>""</f>
        <v/>
      </c>
      <c r="E272" t="str">
        <f>"NEW BRITAIN"</f>
        <v>NEW BRITAIN</v>
      </c>
      <c r="F272" t="str">
        <f t="shared" si="29"/>
        <v>CT</v>
      </c>
      <c r="G272" t="str">
        <f>"06053"</f>
        <v>06053</v>
      </c>
      <c r="H272" t="str">
        <f>"8602256487"</f>
        <v>8602256487</v>
      </c>
      <c r="I272" t="str">
        <f>"ENGLISH;POLISH;SPANISH"</f>
        <v>ENGLISH;POLISH;SPANISH</v>
      </c>
    </row>
    <row r="273" spans="1:9" x14ac:dyDescent="0.3">
      <c r="A273" t="str">
        <f>"DEGROFF RX, LLC DBA BEACON PRESCRIPTIONS"</f>
        <v>DEGROFF RX, LLC DBA BEACON PRESCRIPTIONS</v>
      </c>
      <c r="B273" t="str">
        <f t="shared" si="28"/>
        <v>Pharmacy</v>
      </c>
      <c r="C273" t="str">
        <f>"543 WEST MAIN STREET"</f>
        <v>543 WEST MAIN STREET</v>
      </c>
      <c r="D273" t="str">
        <f>""</f>
        <v/>
      </c>
      <c r="E273" t="str">
        <f>"NEW BRITAIN"</f>
        <v>NEW BRITAIN</v>
      </c>
      <c r="F273" t="str">
        <f t="shared" si="29"/>
        <v>CT</v>
      </c>
      <c r="G273" t="str">
        <f>"06053"</f>
        <v>06053</v>
      </c>
      <c r="H273" t="str">
        <f>"8602256487"</f>
        <v>8602256487</v>
      </c>
      <c r="I273" t="str">
        <f>"ENGLISH;POLISH;SPANISH"</f>
        <v>ENGLISH;POLISH;SPANISH</v>
      </c>
    </row>
    <row r="274" spans="1:9" x14ac:dyDescent="0.3">
      <c r="A274" t="str">
        <f>"DIAMOND DRUGS, INC."</f>
        <v>DIAMOND DRUGS, INC.</v>
      </c>
      <c r="B274" t="str">
        <f t="shared" si="28"/>
        <v>Pharmacy</v>
      </c>
      <c r="C274" t="str">
        <f>"645 KOLTER DRIVE"</f>
        <v>645 KOLTER DRIVE</v>
      </c>
      <c r="D274" t="str">
        <f>""</f>
        <v/>
      </c>
      <c r="E274" t="str">
        <f>"INDIANA"</f>
        <v>INDIANA</v>
      </c>
      <c r="F274" t="str">
        <f>"PA"</f>
        <v>PA</v>
      </c>
      <c r="G274" t="str">
        <f>"15701"</f>
        <v>15701</v>
      </c>
      <c r="H274" t="str">
        <f>"8008826337"</f>
        <v>8008826337</v>
      </c>
      <c r="I274" t="str">
        <f>"ENGLISH"</f>
        <v>ENGLISH</v>
      </c>
    </row>
    <row r="275" spans="1:9" x14ac:dyDescent="0.3">
      <c r="A275" t="str">
        <f>"DIXWELL PHARMACY LLC"</f>
        <v>DIXWELL PHARMACY LLC</v>
      </c>
      <c r="B275" t="str">
        <f t="shared" si="28"/>
        <v>Pharmacy</v>
      </c>
      <c r="C275" t="str">
        <f>"2380 DIXWELL AVE."</f>
        <v>2380 DIXWELL AVE.</v>
      </c>
      <c r="D275" t="str">
        <f>""</f>
        <v/>
      </c>
      <c r="E275" t="str">
        <f>"HAMDEN"</f>
        <v>HAMDEN</v>
      </c>
      <c r="F275" t="str">
        <f>"CT"</f>
        <v>CT</v>
      </c>
      <c r="G275" t="str">
        <f>"06514"</f>
        <v>06514</v>
      </c>
      <c r="H275" t="str">
        <f>"2032816571"</f>
        <v>2032816571</v>
      </c>
      <c r="I275" t="str">
        <f>"ENGLISH;HINDI;SPANISH"</f>
        <v>ENGLISH;HINDI;SPANISH</v>
      </c>
    </row>
    <row r="276" spans="1:9" x14ac:dyDescent="0.3">
      <c r="A276" t="str">
        <f>"DIYA CORPORATION"</f>
        <v>DIYA CORPORATION</v>
      </c>
      <c r="B276" t="str">
        <f t="shared" si="28"/>
        <v>Pharmacy</v>
      </c>
      <c r="C276" t="str">
        <f>"55 DEFOREST STREET"</f>
        <v>55 DEFOREST STREET</v>
      </c>
      <c r="D276" t="str">
        <f>"HEALTH COMPLEX PHARMACY"</f>
        <v>HEALTH COMPLEX PHARMACY</v>
      </c>
      <c r="E276" t="str">
        <f>"WATERTOWN"</f>
        <v>WATERTOWN</v>
      </c>
      <c r="F276" t="str">
        <f>"CT"</f>
        <v>CT</v>
      </c>
      <c r="G276" t="str">
        <f>"06795"</f>
        <v>06795</v>
      </c>
      <c r="H276" t="str">
        <f>"8602748816"</f>
        <v>8602748816</v>
      </c>
      <c r="I276" t="str">
        <f>"ENGLISH"</f>
        <v>ENGLISH</v>
      </c>
    </row>
    <row r="277" spans="1:9" x14ac:dyDescent="0.3">
      <c r="A277" t="str">
        <f>"DURHAM PHARMACY"</f>
        <v>DURHAM PHARMACY</v>
      </c>
      <c r="B277" t="str">
        <f t="shared" si="28"/>
        <v>Pharmacy</v>
      </c>
      <c r="C277" t="str">
        <f>"321 MAIN STREET"</f>
        <v>321 MAIN STREET</v>
      </c>
      <c r="D277" t="str">
        <f>"DURHAM PHARMACY"</f>
        <v>DURHAM PHARMACY</v>
      </c>
      <c r="E277" t="str">
        <f>"DURHAM"</f>
        <v>DURHAM</v>
      </c>
      <c r="F277" t="str">
        <f>"CT"</f>
        <v>CT</v>
      </c>
      <c r="G277" t="str">
        <f>"06422"</f>
        <v>06422</v>
      </c>
      <c r="H277" t="str">
        <f>"8603493478"</f>
        <v>8603493478</v>
      </c>
      <c r="I277" t="str">
        <f>"ENGLISH"</f>
        <v>ENGLISH</v>
      </c>
    </row>
    <row r="278" spans="1:9" x14ac:dyDescent="0.3">
      <c r="A278" t="str">
        <f>"EAST BAY PHARMACY"</f>
        <v>EAST BAY PHARMACY</v>
      </c>
      <c r="B278" t="str">
        <f t="shared" si="28"/>
        <v>Pharmacy</v>
      </c>
      <c r="C278" t="str">
        <f>"1565 N. MAIN ST."</f>
        <v>1565 N. MAIN ST.</v>
      </c>
      <c r="D278" t="str">
        <f>"SUITE 502"</f>
        <v>SUITE 502</v>
      </c>
      <c r="E278" t="str">
        <f>"FALL RIVER"</f>
        <v>FALL RIVER</v>
      </c>
      <c r="F278" t="str">
        <f>"MA"</f>
        <v>MA</v>
      </c>
      <c r="G278" t="str">
        <f>"02720"</f>
        <v>02720</v>
      </c>
      <c r="H278" t="str">
        <f>"5086899320"</f>
        <v>5086899320</v>
      </c>
      <c r="I278" t="str">
        <f>"ENGLISH"</f>
        <v>ENGLISH</v>
      </c>
    </row>
    <row r="279" spans="1:9" x14ac:dyDescent="0.3">
      <c r="A279" t="str">
        <f>"EAST HAVEN MARKETS LLC"</f>
        <v>EAST HAVEN MARKETS LLC</v>
      </c>
      <c r="B279" t="str">
        <f t="shared" si="28"/>
        <v>Pharmacy</v>
      </c>
      <c r="C279" t="str">
        <f>"745 FOXON ROAD"</f>
        <v>745 FOXON ROAD</v>
      </c>
      <c r="D279" t="str">
        <f>""</f>
        <v/>
      </c>
      <c r="E279" t="str">
        <f>"EAST HAVEN"</f>
        <v>EAST HAVEN</v>
      </c>
      <c r="F279" t="str">
        <f>"CT"</f>
        <v>CT</v>
      </c>
      <c r="G279" t="str">
        <f>"06513"</f>
        <v>06513</v>
      </c>
      <c r="H279" t="str">
        <f>"4752025184"</f>
        <v>4752025184</v>
      </c>
      <c r="I279" t="str">
        <f>"ENGLISH"</f>
        <v>ENGLISH</v>
      </c>
    </row>
    <row r="280" spans="1:9" x14ac:dyDescent="0.3">
      <c r="A280" t="str">
        <f>"EVERSANA LIFE SCIENCE SERVICES, LLC"</f>
        <v>EVERSANA LIFE SCIENCE SERVICES, LLC</v>
      </c>
      <c r="B280" t="str">
        <f t="shared" si="28"/>
        <v>Pharmacy</v>
      </c>
      <c r="C280" t="str">
        <f>"17877 CHESTERFIELD AIRPORT RD"</f>
        <v>17877 CHESTERFIELD AIRPORT RD</v>
      </c>
      <c r="D280" t="str">
        <f>""</f>
        <v/>
      </c>
      <c r="E280" t="str">
        <f>"CHESTERFIELD"</f>
        <v>CHESTERFIELD</v>
      </c>
      <c r="F280" t="str">
        <f>"MO"</f>
        <v>MO</v>
      </c>
      <c r="G280" t="str">
        <f>"63005"</f>
        <v>63005</v>
      </c>
      <c r="H280" t="str">
        <f>"6365192400"</f>
        <v>6365192400</v>
      </c>
      <c r="I280" t="str">
        <f>"ENGLISH;SPANISH"</f>
        <v>ENGLISH;SPANISH</v>
      </c>
    </row>
    <row r="281" spans="1:9" x14ac:dyDescent="0.3">
      <c r="A281" t="str">
        <f>"EVINE LLC DBA VALUERX PHARMACY SERVICES"</f>
        <v>EVINE LLC DBA VALUERX PHARMACY SERVICES</v>
      </c>
      <c r="B281" t="str">
        <f t="shared" si="28"/>
        <v>Pharmacy</v>
      </c>
      <c r="C281" t="str">
        <f>"54 TUTTLE PLACE"</f>
        <v>54 TUTTLE PLACE</v>
      </c>
      <c r="D281" t="str">
        <f>""</f>
        <v/>
      </c>
      <c r="E281" t="str">
        <f>"MIDDLETOWN"</f>
        <v>MIDDLETOWN</v>
      </c>
      <c r="F281" t="str">
        <f>"CT"</f>
        <v>CT</v>
      </c>
      <c r="G281" t="str">
        <f>"06457"</f>
        <v>06457</v>
      </c>
      <c r="H281" t="str">
        <f>"8446508777"</f>
        <v>8446508777</v>
      </c>
      <c r="I281" t="str">
        <f>"ENGLISH;POLISH;PORTUGUESE;SPANISH"</f>
        <v>ENGLISH;POLISH;PORTUGUESE;SPANISH</v>
      </c>
    </row>
    <row r="282" spans="1:9" x14ac:dyDescent="0.3">
      <c r="A282" t="str">
        <f>"EXPRESS SCRIPTS SPECIALTY DISTRIBUTION SVCS INC"</f>
        <v>EXPRESS SCRIPTS SPECIALTY DISTRIBUTION SVCS INC</v>
      </c>
      <c r="B282" t="str">
        <f t="shared" si="28"/>
        <v>Pharmacy</v>
      </c>
      <c r="C282" t="str">
        <f>"4600 N. HANLEY ROAD"</f>
        <v>4600 N. HANLEY ROAD</v>
      </c>
      <c r="D282" t="str">
        <f>"SUITE B"</f>
        <v>SUITE B</v>
      </c>
      <c r="E282" t="str">
        <f>"ST LOUIS"</f>
        <v>ST LOUIS</v>
      </c>
      <c r="F282" t="str">
        <f>"MO"</f>
        <v>MO</v>
      </c>
      <c r="G282" t="str">
        <f>"63134"</f>
        <v>63134</v>
      </c>
      <c r="H282" t="str">
        <f>"8669973688"</f>
        <v>8669973688</v>
      </c>
      <c r="I282" t="str">
        <f>"ENGLISH;SPANISH"</f>
        <v>ENGLISH;SPANISH</v>
      </c>
    </row>
    <row r="283" spans="1:9" x14ac:dyDescent="0.3">
      <c r="A283" t="str">
        <f>"EYE OF HORUS PHARMACEUTICAL SERVICES,LLC DBA ABLE"</f>
        <v>EYE OF HORUS PHARMACEUTICAL SERVICES,LLC DBA ABLE</v>
      </c>
      <c r="B283" t="str">
        <f t="shared" si="28"/>
        <v>Pharmacy</v>
      </c>
      <c r="C283" t="str">
        <f>"15 PALOMBA DR."</f>
        <v>15 PALOMBA DR.</v>
      </c>
      <c r="D283" t="str">
        <f>""</f>
        <v/>
      </c>
      <c r="E283" t="str">
        <f>"ENFIELD"</f>
        <v>ENFIELD</v>
      </c>
      <c r="F283" t="str">
        <f t="shared" ref="F283:F288" si="30">"CT"</f>
        <v>CT</v>
      </c>
      <c r="G283" t="str">
        <f>"06082"</f>
        <v>06082</v>
      </c>
      <c r="H283" t="str">
        <f>"8607450183"</f>
        <v>8607450183</v>
      </c>
      <c r="I283" t="str">
        <f>"ARABIC;ENGLISH"</f>
        <v>ARABIC;ENGLISH</v>
      </c>
    </row>
    <row r="284" spans="1:9" x14ac:dyDescent="0.3">
      <c r="A284" t="str">
        <f>"FAIR HAVEN COMMUNITY HEALTH CLINIC"</f>
        <v>FAIR HAVEN COMMUNITY HEALTH CLINIC</v>
      </c>
      <c r="B284" t="str">
        <f t="shared" si="28"/>
        <v>Pharmacy</v>
      </c>
      <c r="C284" t="str">
        <f>"221 W. MAIN STREET"</f>
        <v>221 W. MAIN STREET</v>
      </c>
      <c r="D284" t="str">
        <f>""</f>
        <v/>
      </c>
      <c r="E284" t="str">
        <f>"BRANFORD"</f>
        <v>BRANFORD</v>
      </c>
      <c r="F284" t="str">
        <f t="shared" si="30"/>
        <v>CT</v>
      </c>
      <c r="G284" t="str">
        <f>"06405"</f>
        <v>06405</v>
      </c>
      <c r="H284" t="str">
        <f>"2039745365"</f>
        <v>2039745365</v>
      </c>
      <c r="I284" t="str">
        <f>"ENGLISH;SPANISH"</f>
        <v>ENGLISH;SPANISH</v>
      </c>
    </row>
    <row r="285" spans="1:9" x14ac:dyDescent="0.3">
      <c r="A285" t="str">
        <f>"FINCH  PHARMACY"</f>
        <v>FINCH  PHARMACY</v>
      </c>
      <c r="B285" t="str">
        <f t="shared" si="28"/>
        <v>Pharmacy</v>
      </c>
      <c r="C285" t="str">
        <f>"263 GLENVILLE RD"</f>
        <v>263 GLENVILLE RD</v>
      </c>
      <c r="D285" t="str">
        <f>""</f>
        <v/>
      </c>
      <c r="E285" t="str">
        <f>"GREENWICH"</f>
        <v>GREENWICH</v>
      </c>
      <c r="F285" t="str">
        <f t="shared" si="30"/>
        <v>CT</v>
      </c>
      <c r="G285" t="str">
        <f>"06831"</f>
        <v>06831</v>
      </c>
      <c r="H285" t="str">
        <f>"2035318494"</f>
        <v>2035318494</v>
      </c>
      <c r="I285" t="str">
        <f>"ENGLISH;GREEK, MODERN (1453-);ITALIAN;SPANISH"</f>
        <v>ENGLISH;GREEK, MODERN (1453-);ITALIAN;SPANISH</v>
      </c>
    </row>
    <row r="286" spans="1:9" x14ac:dyDescent="0.3">
      <c r="A286" t="str">
        <f>"FIRST CHOICE HEALTH CENTER PHARMACY"</f>
        <v>FIRST CHOICE HEALTH CENTER PHARMACY</v>
      </c>
      <c r="B286" t="str">
        <f t="shared" si="28"/>
        <v>Pharmacy</v>
      </c>
      <c r="C286" t="str">
        <f>"110 CONNECTICUT BOULEVARD"</f>
        <v>110 CONNECTICUT BOULEVARD</v>
      </c>
      <c r="D286" t="str">
        <f>""</f>
        <v/>
      </c>
      <c r="E286" t="str">
        <f>"EAST HARTFORD"</f>
        <v>EAST HARTFORD</v>
      </c>
      <c r="F286" t="str">
        <f t="shared" si="30"/>
        <v>CT</v>
      </c>
      <c r="G286" t="str">
        <f>"06108"</f>
        <v>06108</v>
      </c>
      <c r="H286" t="str">
        <f>"8606106150"</f>
        <v>8606106150</v>
      </c>
      <c r="I286" t="str">
        <f t="shared" ref="I286:I294" si="31">"ENGLISH;SPANISH"</f>
        <v>ENGLISH;SPANISH</v>
      </c>
    </row>
    <row r="287" spans="1:9" x14ac:dyDescent="0.3">
      <c r="A287" t="str">
        <f>"FIRST CHOICE HEALTH CENTER PHARMACY"</f>
        <v>FIRST CHOICE HEALTH CENTER PHARMACY</v>
      </c>
      <c r="B287" t="str">
        <f t="shared" si="28"/>
        <v>Pharmacy</v>
      </c>
      <c r="C287" t="str">
        <f>"110 CONNECTICUT BOULEVARD"</f>
        <v>110 CONNECTICUT BOULEVARD</v>
      </c>
      <c r="D287" t="str">
        <f>""</f>
        <v/>
      </c>
      <c r="E287" t="str">
        <f>"EAST HARTFORD"</f>
        <v>EAST HARTFORD</v>
      </c>
      <c r="F287" t="str">
        <f t="shared" si="30"/>
        <v>CT</v>
      </c>
      <c r="G287" t="str">
        <f>"06108"</f>
        <v>06108</v>
      </c>
      <c r="H287" t="str">
        <f>"8606106150"</f>
        <v>8606106150</v>
      </c>
      <c r="I287" t="str">
        <f t="shared" si="31"/>
        <v>ENGLISH;SPANISH</v>
      </c>
    </row>
    <row r="288" spans="1:9" x14ac:dyDescent="0.3">
      <c r="A288" t="str">
        <f>"FND PHARMACY INC"</f>
        <v>FND PHARMACY INC</v>
      </c>
      <c r="B288" t="str">
        <f t="shared" si="28"/>
        <v>Pharmacy</v>
      </c>
      <c r="C288" t="str">
        <f>"792 HIGHLAND AVE"</f>
        <v>792 HIGHLAND AVE</v>
      </c>
      <c r="D288" t="str">
        <f>""</f>
        <v/>
      </c>
      <c r="E288" t="str">
        <f>"WATERBURY"</f>
        <v>WATERBURY</v>
      </c>
      <c r="F288" t="str">
        <f t="shared" si="30"/>
        <v>CT</v>
      </c>
      <c r="G288" t="str">
        <f>"06708"</f>
        <v>06708</v>
      </c>
      <c r="H288" t="str">
        <f>"2037540181"</f>
        <v>2037540181</v>
      </c>
      <c r="I288" t="str">
        <f t="shared" si="31"/>
        <v>ENGLISH;SPANISH</v>
      </c>
    </row>
    <row r="289" spans="1:9" x14ac:dyDescent="0.3">
      <c r="A289" t="str">
        <f>"FOUNDATION CARE LLC"</f>
        <v>FOUNDATION CARE LLC</v>
      </c>
      <c r="B289" t="str">
        <f t="shared" si="28"/>
        <v>Pharmacy</v>
      </c>
      <c r="C289" t="str">
        <f>"111 CHESTERFIELD INDUSTRIAL B"</f>
        <v>111 CHESTERFIELD INDUSTRIAL B</v>
      </c>
      <c r="D289" t="str">
        <f>"STE 115"</f>
        <v>STE 115</v>
      </c>
      <c r="E289" t="str">
        <f>"CHESTERFIELD"</f>
        <v>CHESTERFIELD</v>
      </c>
      <c r="F289" t="str">
        <f>"MO"</f>
        <v>MO</v>
      </c>
      <c r="G289" t="str">
        <f>"63005"</f>
        <v>63005</v>
      </c>
      <c r="H289" t="str">
        <f>"8772911122"</f>
        <v>8772911122</v>
      </c>
      <c r="I289" t="str">
        <f t="shared" si="31"/>
        <v>ENGLISH;SPANISH</v>
      </c>
    </row>
    <row r="290" spans="1:9" x14ac:dyDescent="0.3">
      <c r="A290" t="str">
        <f t="shared" ref="A290:A305" si="32">"GENOA HEALTHCARE LLC"</f>
        <v>GENOA HEALTHCARE LLC</v>
      </c>
      <c r="B290" t="str">
        <f t="shared" si="28"/>
        <v>Pharmacy</v>
      </c>
      <c r="C290" t="str">
        <f>"444 CENTER STREET"</f>
        <v>444 CENTER STREET</v>
      </c>
      <c r="D290" t="str">
        <f>"SUITE 117"</f>
        <v>SUITE 117</v>
      </c>
      <c r="E290" t="str">
        <f>"MANCHESTER"</f>
        <v>MANCHESTER</v>
      </c>
      <c r="F290" t="str">
        <f t="shared" ref="F290:F321" si="33">"CT"</f>
        <v>CT</v>
      </c>
      <c r="G290" t="str">
        <f>"06040"</f>
        <v>06040</v>
      </c>
      <c r="H290" t="str">
        <f>"8602882119"</f>
        <v>8602882119</v>
      </c>
      <c r="I290" t="str">
        <f t="shared" si="31"/>
        <v>ENGLISH;SPANISH</v>
      </c>
    </row>
    <row r="291" spans="1:9" x14ac:dyDescent="0.3">
      <c r="A291" t="str">
        <f t="shared" si="32"/>
        <v>GENOA HEALTHCARE LLC</v>
      </c>
      <c r="B291" t="str">
        <f t="shared" si="28"/>
        <v>Pharmacy</v>
      </c>
      <c r="C291" t="str">
        <f>"21 MONTAUK AVENUE"</f>
        <v>21 MONTAUK AVENUE</v>
      </c>
      <c r="D291" t="str">
        <f>"STE-102"</f>
        <v>STE-102</v>
      </c>
      <c r="E291" t="str">
        <f>"NEW LONDON"</f>
        <v>NEW LONDON</v>
      </c>
      <c r="F291" t="str">
        <f t="shared" si="33"/>
        <v>CT</v>
      </c>
      <c r="G291" t="str">
        <f>"06320"</f>
        <v>06320</v>
      </c>
      <c r="H291" t="str">
        <f>"8604479145"</f>
        <v>8604479145</v>
      </c>
      <c r="I291" t="str">
        <f t="shared" si="31"/>
        <v>ENGLISH;SPANISH</v>
      </c>
    </row>
    <row r="292" spans="1:9" x14ac:dyDescent="0.3">
      <c r="A292" t="str">
        <f t="shared" si="32"/>
        <v>GENOA HEALTHCARE LLC</v>
      </c>
      <c r="B292" t="str">
        <f t="shared" si="28"/>
        <v>Pharmacy</v>
      </c>
      <c r="C292" t="str">
        <f>"230 MAIN STREET EXT"</f>
        <v>230 MAIN STREET EXT</v>
      </c>
      <c r="D292" t="str">
        <f>"STE A"</f>
        <v>STE A</v>
      </c>
      <c r="E292" t="str">
        <f>"MIDDLETOWN"</f>
        <v>MIDDLETOWN</v>
      </c>
      <c r="F292" t="str">
        <f t="shared" si="33"/>
        <v>CT</v>
      </c>
      <c r="G292" t="str">
        <f>"06457"</f>
        <v>06457</v>
      </c>
      <c r="H292" t="str">
        <f>"8603164405"</f>
        <v>8603164405</v>
      </c>
      <c r="I292" t="str">
        <f t="shared" si="31"/>
        <v>ENGLISH;SPANISH</v>
      </c>
    </row>
    <row r="293" spans="1:9" x14ac:dyDescent="0.3">
      <c r="A293" t="str">
        <f t="shared" si="32"/>
        <v>GENOA HEALTHCARE LLC</v>
      </c>
      <c r="B293" t="str">
        <f t="shared" si="28"/>
        <v>Pharmacy</v>
      </c>
      <c r="C293" t="str">
        <f>"47 TOWN ST"</f>
        <v>47 TOWN ST</v>
      </c>
      <c r="D293" t="str">
        <f>"SUITE G"</f>
        <v>SUITE G</v>
      </c>
      <c r="E293" t="str">
        <f>"NORWICH"</f>
        <v>NORWICH</v>
      </c>
      <c r="F293" t="str">
        <f t="shared" si="33"/>
        <v>CT</v>
      </c>
      <c r="G293" t="str">
        <f>"06360"</f>
        <v>06360</v>
      </c>
      <c r="H293" t="str">
        <f>"9522053435"</f>
        <v>9522053435</v>
      </c>
      <c r="I293" t="str">
        <f t="shared" si="31"/>
        <v>ENGLISH;SPANISH</v>
      </c>
    </row>
    <row r="294" spans="1:9" x14ac:dyDescent="0.3">
      <c r="A294" t="str">
        <f t="shared" si="32"/>
        <v>GENOA HEALTHCARE LLC</v>
      </c>
      <c r="B294" t="str">
        <f t="shared" si="28"/>
        <v>Pharmacy</v>
      </c>
      <c r="C294" t="str">
        <f>"287 MAIN STREET"</f>
        <v>287 MAIN STREET</v>
      </c>
      <c r="D294" t="str">
        <f>"STE A 2"</f>
        <v>STE A 2</v>
      </c>
      <c r="E294" t="str">
        <f>"EAST HARTFORD"</f>
        <v>EAST HARTFORD</v>
      </c>
      <c r="F294" t="str">
        <f t="shared" si="33"/>
        <v>CT</v>
      </c>
      <c r="G294" t="str">
        <f>"06118"</f>
        <v>06118</v>
      </c>
      <c r="H294" t="str">
        <f>"8607856052"</f>
        <v>8607856052</v>
      </c>
      <c r="I294" t="str">
        <f t="shared" si="31"/>
        <v>ENGLISH;SPANISH</v>
      </c>
    </row>
    <row r="295" spans="1:9" x14ac:dyDescent="0.3">
      <c r="A295" t="str">
        <f t="shared" si="32"/>
        <v>GENOA HEALTHCARE LLC</v>
      </c>
      <c r="B295" t="str">
        <f t="shared" si="28"/>
        <v>Pharmacy</v>
      </c>
      <c r="C295" t="str">
        <f>"855 LAKEWOOD ROAD"</f>
        <v>855 LAKEWOOD ROAD</v>
      </c>
      <c r="D295" t="str">
        <f>"SUITE 100"</f>
        <v>SUITE 100</v>
      </c>
      <c r="E295" t="str">
        <f>"WATERBURY"</f>
        <v>WATERBURY</v>
      </c>
      <c r="F295" t="str">
        <f t="shared" si="33"/>
        <v>CT</v>
      </c>
      <c r="G295" t="str">
        <f>"06704"</f>
        <v>06704</v>
      </c>
      <c r="H295" t="str">
        <f>"2035775497"</f>
        <v>2035775497</v>
      </c>
      <c r="I295" t="str">
        <f>"ENGLISH"</f>
        <v>ENGLISH</v>
      </c>
    </row>
    <row r="296" spans="1:9" x14ac:dyDescent="0.3">
      <c r="A296" t="str">
        <f t="shared" si="32"/>
        <v>GENOA HEALTHCARE LLC</v>
      </c>
      <c r="B296" t="str">
        <f t="shared" si="28"/>
        <v>Pharmacy</v>
      </c>
      <c r="C296" t="str">
        <f>"45 WADSWORTH STREET"</f>
        <v>45 WADSWORTH STREET</v>
      </c>
      <c r="D296" t="str">
        <f>"SUITE P"</f>
        <v>SUITE P</v>
      </c>
      <c r="E296" t="str">
        <f>"HARTFORD"</f>
        <v>HARTFORD</v>
      </c>
      <c r="F296" t="str">
        <f t="shared" si="33"/>
        <v>CT</v>
      </c>
      <c r="G296" t="str">
        <f>"06106"</f>
        <v>06106</v>
      </c>
      <c r="H296" t="str">
        <f>"8609205433"</f>
        <v>8609205433</v>
      </c>
      <c r="I296" t="str">
        <f>"ENGLISH;SPANISH"</f>
        <v>ENGLISH;SPANISH</v>
      </c>
    </row>
    <row r="297" spans="1:9" x14ac:dyDescent="0.3">
      <c r="A297" t="str">
        <f t="shared" si="32"/>
        <v>GENOA HEALTHCARE LLC</v>
      </c>
      <c r="B297" t="str">
        <f t="shared" si="28"/>
        <v>Pharmacy</v>
      </c>
      <c r="C297" t="str">
        <f>"43 WOODLAND ST"</f>
        <v>43 WOODLAND ST</v>
      </c>
      <c r="D297" t="str">
        <f>"SUITE G100"</f>
        <v>SUITE G100</v>
      </c>
      <c r="E297" t="str">
        <f>"HARTFORD"</f>
        <v>HARTFORD</v>
      </c>
      <c r="F297" t="str">
        <f t="shared" si="33"/>
        <v>CT</v>
      </c>
      <c r="G297" t="str">
        <f>"06112"</f>
        <v>06112</v>
      </c>
      <c r="H297" t="str">
        <f>"7633496997"</f>
        <v>7633496997</v>
      </c>
      <c r="I297" t="str">
        <f t="shared" ref="I297:I305" si="34">"ENGLISH"</f>
        <v>ENGLISH</v>
      </c>
    </row>
    <row r="298" spans="1:9" x14ac:dyDescent="0.3">
      <c r="A298" t="str">
        <f t="shared" si="32"/>
        <v>GENOA HEALTHCARE LLC</v>
      </c>
      <c r="B298" t="str">
        <f t="shared" si="28"/>
        <v>Pharmacy</v>
      </c>
      <c r="C298" t="str">
        <f>"435 E MAIN STREET"</f>
        <v>435 E MAIN STREET</v>
      </c>
      <c r="D298" t="str">
        <f>"SUITE P"</f>
        <v>SUITE P</v>
      </c>
      <c r="E298" t="str">
        <f>"ANSONIA"</f>
        <v>ANSONIA</v>
      </c>
      <c r="F298" t="str">
        <f t="shared" si="33"/>
        <v>CT</v>
      </c>
      <c r="G298" t="str">
        <f>"06401"</f>
        <v>06401</v>
      </c>
      <c r="H298" t="str">
        <f>"2034460047"</f>
        <v>2034460047</v>
      </c>
      <c r="I298" t="str">
        <f t="shared" si="34"/>
        <v>ENGLISH</v>
      </c>
    </row>
    <row r="299" spans="1:9" x14ac:dyDescent="0.3">
      <c r="A299" t="str">
        <f t="shared" si="32"/>
        <v>GENOA HEALTHCARE LLC</v>
      </c>
      <c r="B299" t="str">
        <f t="shared" si="28"/>
        <v>Pharmacy</v>
      </c>
      <c r="C299" t="str">
        <f>"469 MIGEON AVE"</f>
        <v>469 MIGEON AVE</v>
      </c>
      <c r="D299" t="str">
        <f>"ROOM 104"</f>
        <v>ROOM 104</v>
      </c>
      <c r="E299" t="str">
        <f>"TORRINGTON"</f>
        <v>TORRINGTON</v>
      </c>
      <c r="F299" t="str">
        <f t="shared" si="33"/>
        <v>CT</v>
      </c>
      <c r="G299" t="str">
        <f>"06790"</f>
        <v>06790</v>
      </c>
      <c r="H299" t="str">
        <f>"8604593211"</f>
        <v>8604593211</v>
      </c>
      <c r="I299" t="str">
        <f t="shared" si="34"/>
        <v>ENGLISH</v>
      </c>
    </row>
    <row r="300" spans="1:9" x14ac:dyDescent="0.3">
      <c r="A300" t="str">
        <f t="shared" si="32"/>
        <v>GENOA HEALTHCARE LLC</v>
      </c>
      <c r="B300" t="str">
        <f t="shared" si="28"/>
        <v>Pharmacy</v>
      </c>
      <c r="C300" t="str">
        <f>"226 EAST MAIN STREET"</f>
        <v>226 EAST MAIN STREET</v>
      </c>
      <c r="D300" t="str">
        <f>"ROOM P"</f>
        <v>ROOM P</v>
      </c>
      <c r="E300" t="str">
        <f>"GRISWOLD"</f>
        <v>GRISWOLD</v>
      </c>
      <c r="F300" t="str">
        <f t="shared" si="33"/>
        <v>CT</v>
      </c>
      <c r="G300" t="str">
        <f>"06351"</f>
        <v>06351</v>
      </c>
      <c r="H300" t="str">
        <f>"8605912004"</f>
        <v>8605912004</v>
      </c>
      <c r="I300" t="str">
        <f t="shared" si="34"/>
        <v>ENGLISH</v>
      </c>
    </row>
    <row r="301" spans="1:9" x14ac:dyDescent="0.3">
      <c r="A301" t="str">
        <f t="shared" si="32"/>
        <v>GENOA HEALTHCARE LLC</v>
      </c>
      <c r="B301" t="str">
        <f t="shared" si="28"/>
        <v>Pharmacy</v>
      </c>
      <c r="C301" t="str">
        <f>"969 WEST MAIN STREET"</f>
        <v>969 WEST MAIN STREET</v>
      </c>
      <c r="D301" t="str">
        <f>"UNIT 2A ROOM P"</f>
        <v>UNIT 2A ROOM P</v>
      </c>
      <c r="E301" t="str">
        <f>"WATERBURY"</f>
        <v>WATERBURY</v>
      </c>
      <c r="F301" t="str">
        <f t="shared" si="33"/>
        <v>CT</v>
      </c>
      <c r="G301" t="str">
        <f>"06708"</f>
        <v>06708</v>
      </c>
      <c r="H301" t="str">
        <f>"9522053435"</f>
        <v>9522053435</v>
      </c>
      <c r="I301" t="str">
        <f t="shared" si="34"/>
        <v>ENGLISH</v>
      </c>
    </row>
    <row r="302" spans="1:9" x14ac:dyDescent="0.3">
      <c r="A302" t="str">
        <f t="shared" si="32"/>
        <v>GENOA HEALTHCARE LLC</v>
      </c>
      <c r="B302" t="str">
        <f t="shared" si="28"/>
        <v>Pharmacy</v>
      </c>
      <c r="C302" t="str">
        <f>"28 BRANFORD ROAD SUITE P"</f>
        <v>28 BRANFORD ROAD SUITE P</v>
      </c>
      <c r="D302" t="str">
        <f>""</f>
        <v/>
      </c>
      <c r="E302" t="str">
        <f>"N BRANFORD"</f>
        <v>N BRANFORD</v>
      </c>
      <c r="F302" t="str">
        <f t="shared" si="33"/>
        <v>CT</v>
      </c>
      <c r="G302" t="str">
        <f>"06471"</f>
        <v>06471</v>
      </c>
      <c r="H302" t="str">
        <f>"2038714051"</f>
        <v>2038714051</v>
      </c>
      <c r="I302" t="str">
        <f t="shared" si="34"/>
        <v>ENGLISH</v>
      </c>
    </row>
    <row r="303" spans="1:9" x14ac:dyDescent="0.3">
      <c r="A303" t="str">
        <f t="shared" si="32"/>
        <v>GENOA HEALTHCARE LLC</v>
      </c>
      <c r="B303" t="str">
        <f t="shared" si="28"/>
        <v>Pharmacy</v>
      </c>
      <c r="C303" t="str">
        <f>"22 5TH STREET"</f>
        <v>22 5TH STREET</v>
      </c>
      <c r="D303" t="str">
        <f>"ROOM P"</f>
        <v>ROOM P</v>
      </c>
      <c r="E303" t="str">
        <f>"STAMFORD"</f>
        <v>STAMFORD</v>
      </c>
      <c r="F303" t="str">
        <f t="shared" si="33"/>
        <v>CT</v>
      </c>
      <c r="G303" t="str">
        <f>"06905"</f>
        <v>06905</v>
      </c>
      <c r="H303" t="str">
        <f>"2039053384"</f>
        <v>2039053384</v>
      </c>
      <c r="I303" t="str">
        <f t="shared" si="34"/>
        <v>ENGLISH</v>
      </c>
    </row>
    <row r="304" spans="1:9" x14ac:dyDescent="0.3">
      <c r="A304" t="str">
        <f t="shared" si="32"/>
        <v>GENOA HEALTHCARE LLC</v>
      </c>
      <c r="B304" t="str">
        <f t="shared" si="28"/>
        <v>Pharmacy</v>
      </c>
      <c r="C304" t="str">
        <f>"1 HOPE STREET"</f>
        <v>1 HOPE STREET</v>
      </c>
      <c r="D304" t="str">
        <f>"SUITE P"</f>
        <v>SUITE P</v>
      </c>
      <c r="E304" t="str">
        <f>"BRISTOL"</f>
        <v>BRISTOL</v>
      </c>
      <c r="F304" t="str">
        <f t="shared" si="33"/>
        <v>CT</v>
      </c>
      <c r="G304" t="str">
        <f>"06010"</f>
        <v>06010</v>
      </c>
      <c r="H304" t="str">
        <f>"8605062532"</f>
        <v>8605062532</v>
      </c>
      <c r="I304" t="str">
        <f t="shared" si="34"/>
        <v>ENGLISH</v>
      </c>
    </row>
    <row r="305" spans="1:9" x14ac:dyDescent="0.3">
      <c r="A305" t="str">
        <f t="shared" si="32"/>
        <v>GENOA HEALTHCARE LLC</v>
      </c>
      <c r="B305" t="str">
        <f t="shared" si="28"/>
        <v>Pharmacy</v>
      </c>
      <c r="C305" t="str">
        <f>"132 MAIN STREET ROM 27"</f>
        <v>132 MAIN STREET ROM 27</v>
      </c>
      <c r="D305" t="str">
        <f>""</f>
        <v/>
      </c>
      <c r="E305" t="str">
        <f>"DANBURY"</f>
        <v>DANBURY</v>
      </c>
      <c r="F305" t="str">
        <f t="shared" si="33"/>
        <v>CT</v>
      </c>
      <c r="G305" t="str">
        <f>"06810"</f>
        <v>06810</v>
      </c>
      <c r="H305" t="str">
        <f>"2035464975"</f>
        <v>2035464975</v>
      </c>
      <c r="I305" t="str">
        <f t="shared" si="34"/>
        <v>ENGLISH</v>
      </c>
    </row>
    <row r="306" spans="1:9" x14ac:dyDescent="0.3">
      <c r="A306" t="str">
        <f>"GENOA HEALTHCARE OF CONNECTICUT, LLC"</f>
        <v>GENOA HEALTHCARE OF CONNECTICUT, LLC</v>
      </c>
      <c r="B306" t="str">
        <f t="shared" si="28"/>
        <v>Pharmacy</v>
      </c>
      <c r="C306" t="str">
        <f>"153 HAZARD AVE SUITE 100"</f>
        <v>153 HAZARD AVE SUITE 100</v>
      </c>
      <c r="D306" t="str">
        <f>""</f>
        <v/>
      </c>
      <c r="E306" t="str">
        <f>"ENFIELD"</f>
        <v>ENFIELD</v>
      </c>
      <c r="F306" t="str">
        <f t="shared" si="33"/>
        <v>CT</v>
      </c>
      <c r="G306" t="str">
        <f>"06082"</f>
        <v>06082</v>
      </c>
      <c r="H306" t="str">
        <f>"8602532605"</f>
        <v>8602532605</v>
      </c>
      <c r="I306" t="str">
        <f>"ENGLISH;SPANISH"</f>
        <v>ENGLISH;SPANISH</v>
      </c>
    </row>
    <row r="307" spans="1:9" x14ac:dyDescent="0.3">
      <c r="A307" t="str">
        <f>"GENOA HEALTHCARE OF CONNECTICUT, LLC"</f>
        <v>GENOA HEALTHCARE OF CONNECTICUT, LLC</v>
      </c>
      <c r="B307" t="str">
        <f t="shared" si="28"/>
        <v>Pharmacy</v>
      </c>
      <c r="C307" t="str">
        <f>"941 BRIDGEPORT AVENUE"</f>
        <v>941 BRIDGEPORT AVENUE</v>
      </c>
      <c r="D307" t="str">
        <f>"STE M5"</f>
        <v>STE M5</v>
      </c>
      <c r="E307" t="str">
        <f>"MILFORD"</f>
        <v>MILFORD</v>
      </c>
      <c r="F307" t="str">
        <f t="shared" si="33"/>
        <v>CT</v>
      </c>
      <c r="G307" t="str">
        <f>"06460"</f>
        <v>06460</v>
      </c>
      <c r="H307" t="str">
        <f>"2033018861"</f>
        <v>2033018861</v>
      </c>
      <c r="I307" t="str">
        <f>"ENGLISH;SPANISH"</f>
        <v>ENGLISH;SPANISH</v>
      </c>
    </row>
    <row r="308" spans="1:9" x14ac:dyDescent="0.3">
      <c r="A308" t="str">
        <f t="shared" ref="A308:A313" si="35">"GENOA HEALTHCARE, LLC"</f>
        <v>GENOA HEALTHCARE, LLC</v>
      </c>
      <c r="B308" t="str">
        <f t="shared" si="28"/>
        <v>Pharmacy</v>
      </c>
      <c r="C308" t="str">
        <f>"140 N FRONTAGE ROAD"</f>
        <v>140 N FRONTAGE ROAD</v>
      </c>
      <c r="D308" t="str">
        <f>"ROOM 171"</f>
        <v>ROOM 171</v>
      </c>
      <c r="E308" t="str">
        <f>"MANSFIELD CENTER"</f>
        <v>MANSFIELD CENTER</v>
      </c>
      <c r="F308" t="str">
        <f t="shared" si="33"/>
        <v>CT</v>
      </c>
      <c r="G308" t="str">
        <f>"06250"</f>
        <v>06250</v>
      </c>
      <c r="H308" t="str">
        <f>"8604554245"</f>
        <v>8604554245</v>
      </c>
      <c r="I308" t="str">
        <f>"ENGLISH"</f>
        <v>ENGLISH</v>
      </c>
    </row>
    <row r="309" spans="1:9" x14ac:dyDescent="0.3">
      <c r="A309" t="str">
        <f t="shared" si="35"/>
        <v>GENOA HEALTHCARE, LLC</v>
      </c>
      <c r="B309" t="str">
        <f t="shared" si="28"/>
        <v>Pharmacy</v>
      </c>
      <c r="C309" t="str">
        <f>"91 NORTHWEST DRIVE, SUITE L-1"</f>
        <v>91 NORTHWEST DRIVE, SUITE L-1</v>
      </c>
      <c r="D309" t="str">
        <f>""</f>
        <v/>
      </c>
      <c r="E309" t="str">
        <f>"PLAINVILLE"</f>
        <v>PLAINVILLE</v>
      </c>
      <c r="F309" t="str">
        <f t="shared" si="33"/>
        <v>CT</v>
      </c>
      <c r="G309" t="str">
        <f>"06062"</f>
        <v>06062</v>
      </c>
      <c r="H309" t="str">
        <f>"8604792667"</f>
        <v>8604792667</v>
      </c>
      <c r="I309" t="str">
        <f>"ENGLISH;SPANISH"</f>
        <v>ENGLISH;SPANISH</v>
      </c>
    </row>
    <row r="310" spans="1:9" x14ac:dyDescent="0.3">
      <c r="A310" t="str">
        <f t="shared" si="35"/>
        <v>GENOA HEALTHCARE, LLC</v>
      </c>
      <c r="B310" t="str">
        <f t="shared" si="28"/>
        <v>Pharmacy</v>
      </c>
      <c r="C310" t="str">
        <f>"331 WETHERSFIELD AVENUE"</f>
        <v>331 WETHERSFIELD AVENUE</v>
      </c>
      <c r="D310" t="str">
        <f>"ROOM 149"</f>
        <v>ROOM 149</v>
      </c>
      <c r="E310" t="str">
        <f>"HARTFORD"</f>
        <v>HARTFORD</v>
      </c>
      <c r="F310" t="str">
        <f t="shared" si="33"/>
        <v>CT</v>
      </c>
      <c r="G310" t="str">
        <f>"06114"</f>
        <v>06114</v>
      </c>
      <c r="H310" t="str">
        <f>"9522053435"</f>
        <v>9522053435</v>
      </c>
      <c r="I310" t="str">
        <f>"ENGLISH"</f>
        <v>ENGLISH</v>
      </c>
    </row>
    <row r="311" spans="1:9" x14ac:dyDescent="0.3">
      <c r="A311" t="str">
        <f t="shared" si="35"/>
        <v>GENOA HEALTHCARE, LLC</v>
      </c>
      <c r="B311" t="str">
        <f t="shared" si="28"/>
        <v>Pharmacy</v>
      </c>
      <c r="C311" t="str">
        <f>"1007 N MAIN ST"</f>
        <v>1007 N MAIN ST</v>
      </c>
      <c r="D311" t="str">
        <f>""</f>
        <v/>
      </c>
      <c r="E311" t="str">
        <f>"DAYVILLE"</f>
        <v>DAYVILLE</v>
      </c>
      <c r="F311" t="str">
        <f t="shared" si="33"/>
        <v>CT</v>
      </c>
      <c r="G311" t="str">
        <f>"06241"</f>
        <v>06241</v>
      </c>
      <c r="H311" t="str">
        <f>"8604574690"</f>
        <v>8604574690</v>
      </c>
      <c r="I311" t="str">
        <f>"ENGLISH;SPANISH"</f>
        <v>ENGLISH;SPANISH</v>
      </c>
    </row>
    <row r="312" spans="1:9" x14ac:dyDescent="0.3">
      <c r="A312" t="str">
        <f t="shared" si="35"/>
        <v>GENOA HEALTHCARE, LLC</v>
      </c>
      <c r="B312" t="str">
        <f t="shared" si="28"/>
        <v>Pharmacy</v>
      </c>
      <c r="C312" t="str">
        <f>"883 PADDOCK AVE"</f>
        <v>883 PADDOCK AVE</v>
      </c>
      <c r="D312" t="str">
        <f>"SUITE S131"</f>
        <v>SUITE S131</v>
      </c>
      <c r="E312" t="str">
        <f>"MERIDEN"</f>
        <v>MERIDEN</v>
      </c>
      <c r="F312" t="str">
        <f t="shared" si="33"/>
        <v>CT</v>
      </c>
      <c r="G312" t="str">
        <f>"06450"</f>
        <v>06450</v>
      </c>
      <c r="H312" t="str">
        <f>"2035990187"</f>
        <v>2035990187</v>
      </c>
      <c r="I312" t="str">
        <f>"ENGLISH;SPANISH"</f>
        <v>ENGLISH;SPANISH</v>
      </c>
    </row>
    <row r="313" spans="1:9" x14ac:dyDescent="0.3">
      <c r="A313" t="str">
        <f t="shared" si="35"/>
        <v>GENOA HEALTHCARE, LLC</v>
      </c>
      <c r="B313" t="str">
        <f t="shared" si="28"/>
        <v>Pharmacy</v>
      </c>
      <c r="C313" t="str">
        <f>"40 HART STREET"</f>
        <v>40 HART STREET</v>
      </c>
      <c r="D313" t="str">
        <f>"SUITE P"</f>
        <v>SUITE P</v>
      </c>
      <c r="E313" t="str">
        <f>"NEW BRITAIN"</f>
        <v>NEW BRITAIN</v>
      </c>
      <c r="F313" t="str">
        <f t="shared" si="33"/>
        <v>CT</v>
      </c>
      <c r="G313" t="str">
        <f>"06052"</f>
        <v>06052</v>
      </c>
      <c r="H313" t="str">
        <f>"8603564401"</f>
        <v>8603564401</v>
      </c>
      <c r="I313" t="str">
        <f>"ENGLISH"</f>
        <v>ENGLISH</v>
      </c>
    </row>
    <row r="314" spans="1:9" x14ac:dyDescent="0.3">
      <c r="A314" t="str">
        <f>"GENOA, A QOL HEALTHCARE COMPANY, LLC"</f>
        <v>GENOA, A QOL HEALTHCARE COMPANY, LLC</v>
      </c>
      <c r="B314" t="str">
        <f t="shared" si="28"/>
        <v>Pharmacy</v>
      </c>
      <c r="C314" t="str">
        <f>"56 COVENTRY STREET"</f>
        <v>56 COVENTRY STREET</v>
      </c>
      <c r="D314" t="str">
        <f>"SUITE B"</f>
        <v>SUITE B</v>
      </c>
      <c r="E314" t="str">
        <f>"HARTFORD"</f>
        <v>HARTFORD</v>
      </c>
      <c r="F314" t="str">
        <f t="shared" si="33"/>
        <v>CT</v>
      </c>
      <c r="G314" t="str">
        <f>"06112"</f>
        <v>06112</v>
      </c>
      <c r="H314" t="str">
        <f>"8609673116"</f>
        <v>8609673116</v>
      </c>
      <c r="I314" t="str">
        <f>"ENGLISH;SPANISH"</f>
        <v>ENGLISH;SPANISH</v>
      </c>
    </row>
    <row r="315" spans="1:9" x14ac:dyDescent="0.3">
      <c r="A315" t="str">
        <f>"GRADE A MARKET INC"</f>
        <v>GRADE A MARKET INC</v>
      </c>
      <c r="B315" t="str">
        <f t="shared" si="28"/>
        <v>Pharmacy</v>
      </c>
      <c r="C315" t="str">
        <f>"360 CONNECTICUT AVE"</f>
        <v>360 CONNECTICUT AVE</v>
      </c>
      <c r="D315" t="str">
        <f>"DBA/GRADE-A-MARKET PHARM"</f>
        <v>DBA/GRADE-A-MARKET PHARM</v>
      </c>
      <c r="E315" t="str">
        <f>"NORWALK"</f>
        <v>NORWALK</v>
      </c>
      <c r="F315" t="str">
        <f t="shared" si="33"/>
        <v>CT</v>
      </c>
      <c r="G315" t="str">
        <f>"06854"</f>
        <v>06854</v>
      </c>
      <c r="H315" t="str">
        <f>"2038385553"</f>
        <v>2038385553</v>
      </c>
      <c r="I315" t="str">
        <f>"ENGLISH"</f>
        <v>ENGLISH</v>
      </c>
    </row>
    <row r="316" spans="1:9" x14ac:dyDescent="0.3">
      <c r="A316" t="str">
        <f>"GRADE A MARKET INC"</f>
        <v>GRADE A MARKET INC</v>
      </c>
      <c r="B316" t="str">
        <f t="shared" si="28"/>
        <v>Pharmacy</v>
      </c>
      <c r="C316" t="str">
        <f>"49 PERSHING DRIVE"</f>
        <v>49 PERSHING DRIVE</v>
      </c>
      <c r="D316" t="str">
        <f>"SHOPRITE PHARMACY 396"</f>
        <v>SHOPRITE PHARMACY 396</v>
      </c>
      <c r="E316" t="str">
        <f>"DERBY"</f>
        <v>DERBY</v>
      </c>
      <c r="F316" t="str">
        <f t="shared" si="33"/>
        <v>CT</v>
      </c>
      <c r="G316" t="str">
        <f>"06418"</f>
        <v>06418</v>
      </c>
      <c r="H316" t="str">
        <f>"2037361055"</f>
        <v>2037361055</v>
      </c>
      <c r="I316" t="str">
        <f>"ENGLISH"</f>
        <v>ENGLISH</v>
      </c>
    </row>
    <row r="317" spans="1:9" x14ac:dyDescent="0.3">
      <c r="A317" t="str">
        <f>"GRADE A SHOPRITE OF SHELTON LLC"</f>
        <v>GRADE A SHOPRITE OF SHELTON LLC</v>
      </c>
      <c r="B317" t="str">
        <f t="shared" si="28"/>
        <v>Pharmacy</v>
      </c>
      <c r="C317" t="str">
        <f>"875 BRIDGEPORT AVENUE"</f>
        <v>875 BRIDGEPORT AVENUE</v>
      </c>
      <c r="D317" t="str">
        <f>"SHOPRITE PHARMACY 398"</f>
        <v>SHOPRITE PHARMACY 398</v>
      </c>
      <c r="E317" t="str">
        <f>"SHELTON"</f>
        <v>SHELTON</v>
      </c>
      <c r="F317" t="str">
        <f t="shared" si="33"/>
        <v>CT</v>
      </c>
      <c r="G317" t="str">
        <f>"06484"</f>
        <v>06484</v>
      </c>
      <c r="H317" t="str">
        <f>"2039294597"</f>
        <v>2039294597</v>
      </c>
      <c r="I317" t="str">
        <f>"ENGLISH"</f>
        <v>ENGLISH</v>
      </c>
    </row>
    <row r="318" spans="1:9" x14ac:dyDescent="0.3">
      <c r="A318" t="str">
        <f>"GRADE A SHOPRITE OF SOUTHBURY LLC"</f>
        <v>GRADE A SHOPRITE OF SOUTHBURY LLC</v>
      </c>
      <c r="B318" t="str">
        <f t="shared" si="28"/>
        <v>Pharmacy</v>
      </c>
      <c r="C318" t="str">
        <f>"775 MAIN STREET SOUTH"</f>
        <v>775 MAIN STREET SOUTH</v>
      </c>
      <c r="D318" t="str">
        <f>"SHOPRITE PHARMACY OF SOUTHBUR"</f>
        <v>SHOPRITE PHARMACY OF SOUTHBUR</v>
      </c>
      <c r="E318" t="str">
        <f>"SOUTHBURY"</f>
        <v>SOUTHBURY</v>
      </c>
      <c r="F318" t="str">
        <f t="shared" si="33"/>
        <v>CT</v>
      </c>
      <c r="G318" t="str">
        <f>"06488"</f>
        <v>06488</v>
      </c>
      <c r="H318" t="str">
        <f>"2032677422"</f>
        <v>2032677422</v>
      </c>
      <c r="I318" t="str">
        <f>"ENGLISH"</f>
        <v>ENGLISH</v>
      </c>
    </row>
    <row r="319" spans="1:9" x14ac:dyDescent="0.3">
      <c r="A319" t="str">
        <f>"GRADE-A-MARKET INC"</f>
        <v>GRADE-A-MARKET INC</v>
      </c>
      <c r="B319" t="str">
        <f t="shared" si="28"/>
        <v>Pharmacy</v>
      </c>
      <c r="C319" t="str">
        <f>"200 SHIPPAN AVE"</f>
        <v>200 SHIPPAN AVE</v>
      </c>
      <c r="D319" t="str">
        <f>"GRADE A PHARMACY"</f>
        <v>GRADE A PHARMACY</v>
      </c>
      <c r="E319" t="str">
        <f>"STAMFORD"</f>
        <v>STAMFORD</v>
      </c>
      <c r="F319" t="str">
        <f t="shared" si="33"/>
        <v>CT</v>
      </c>
      <c r="G319" t="str">
        <f>"06902"</f>
        <v>06902</v>
      </c>
      <c r="H319" t="str">
        <f>"2033273056"</f>
        <v>2033273056</v>
      </c>
      <c r="I319" t="str">
        <f>"ENGLISH;SPANISH"</f>
        <v>ENGLISH;SPANISH</v>
      </c>
    </row>
    <row r="320" spans="1:9" x14ac:dyDescent="0.3">
      <c r="A320" t="str">
        <f>"GRAEBERS PHARMACY     INC"</f>
        <v>GRAEBERS PHARMACY     INC</v>
      </c>
      <c r="B320" t="str">
        <f t="shared" si="28"/>
        <v>Pharmacy</v>
      </c>
      <c r="C320" t="str">
        <f>"172 WEST MAIN STREET"</f>
        <v>172 WEST MAIN STREET</v>
      </c>
      <c r="D320" t="str">
        <f>""</f>
        <v/>
      </c>
      <c r="E320" t="str">
        <f>"MERIDEN"</f>
        <v>MERIDEN</v>
      </c>
      <c r="F320" t="str">
        <f t="shared" si="33"/>
        <v>CT</v>
      </c>
      <c r="G320" t="str">
        <f>"06451"</f>
        <v>06451</v>
      </c>
      <c r="H320" t="str">
        <f>"2032354463"</f>
        <v>2032354463</v>
      </c>
      <c r="I320" t="str">
        <f>"ENGLISH;ITALIAN;POLISH;SPANISH"</f>
        <v>ENGLISH;ITALIAN;POLISH;SPANISH</v>
      </c>
    </row>
    <row r="321" spans="1:9" x14ac:dyDescent="0.3">
      <c r="A321" t="str">
        <f>"GRAND PHARMACY"</f>
        <v>GRAND PHARMACY</v>
      </c>
      <c r="B321" t="str">
        <f t="shared" si="28"/>
        <v>Pharmacy</v>
      </c>
      <c r="C321" t="str">
        <f>"221 WEST MAIN STREET"</f>
        <v>221 WEST MAIN STREET</v>
      </c>
      <c r="D321" t="str">
        <f>""</f>
        <v/>
      </c>
      <c r="E321" t="str">
        <f>"BRANFORD"</f>
        <v>BRANFORD</v>
      </c>
      <c r="F321" t="str">
        <f t="shared" si="33"/>
        <v>CT</v>
      </c>
      <c r="G321" t="str">
        <f>"06405"</f>
        <v>06405</v>
      </c>
      <c r="H321" t="str">
        <f>"2039745365"</f>
        <v>2039745365</v>
      </c>
      <c r="I321" t="str">
        <f t="shared" ref="I321:I332" si="36">"ENGLISH"</f>
        <v>ENGLISH</v>
      </c>
    </row>
    <row r="322" spans="1:9" x14ac:dyDescent="0.3">
      <c r="A322" t="str">
        <f>"GRAND PHARMACY 111"</f>
        <v>GRAND PHARMACY 111</v>
      </c>
      <c r="B322" t="str">
        <f t="shared" ref="B322:B385" si="37">"Pharmacy"</f>
        <v>Pharmacy</v>
      </c>
      <c r="C322" t="str">
        <f>"111 GRAND AVENUE"</f>
        <v>111 GRAND AVENUE</v>
      </c>
      <c r="D322" t="str">
        <f>""</f>
        <v/>
      </c>
      <c r="E322" t="str">
        <f>"NEW HAVEN"</f>
        <v>NEW HAVEN</v>
      </c>
      <c r="F322" t="str">
        <f t="shared" ref="F322:F346" si="38">"CT"</f>
        <v>CT</v>
      </c>
      <c r="G322" t="str">
        <f>"06513"</f>
        <v>06513</v>
      </c>
      <c r="H322" t="str">
        <f>"2037777411"</f>
        <v>2037777411</v>
      </c>
      <c r="I322" t="str">
        <f t="shared" si="36"/>
        <v>ENGLISH</v>
      </c>
    </row>
    <row r="323" spans="1:9" x14ac:dyDescent="0.3">
      <c r="A323" t="str">
        <f>"GRAND PHARMACY 111"</f>
        <v>GRAND PHARMACY 111</v>
      </c>
      <c r="B323" t="str">
        <f t="shared" si="37"/>
        <v>Pharmacy</v>
      </c>
      <c r="C323" t="str">
        <f>"111 GRAND AVENUE"</f>
        <v>111 GRAND AVENUE</v>
      </c>
      <c r="D323" t="str">
        <f>""</f>
        <v/>
      </c>
      <c r="E323" t="str">
        <f>"NEW HAVEN"</f>
        <v>NEW HAVEN</v>
      </c>
      <c r="F323" t="str">
        <f t="shared" si="38"/>
        <v>CT</v>
      </c>
      <c r="G323" t="str">
        <f>"06513"</f>
        <v>06513</v>
      </c>
      <c r="H323" t="str">
        <f>"2039740200"</f>
        <v>2039740200</v>
      </c>
      <c r="I323" t="str">
        <f t="shared" si="36"/>
        <v>ENGLISH</v>
      </c>
    </row>
    <row r="324" spans="1:9" x14ac:dyDescent="0.3">
      <c r="A324" t="str">
        <f>"GREENVIEW PHARMACY LLC"</f>
        <v>GREENVIEW PHARMACY LLC</v>
      </c>
      <c r="B324" t="str">
        <f t="shared" si="37"/>
        <v>Pharmacy</v>
      </c>
      <c r="C324" t="str">
        <f>"244 MILL STREET"</f>
        <v>244 MILL STREET</v>
      </c>
      <c r="D324" t="str">
        <f>""</f>
        <v/>
      </c>
      <c r="E324" t="str">
        <f>"GREENWICH"</f>
        <v>GREENWICH</v>
      </c>
      <c r="F324" t="str">
        <f t="shared" si="38"/>
        <v>CT</v>
      </c>
      <c r="G324" t="str">
        <f>"06830"</f>
        <v>06830</v>
      </c>
      <c r="H324" t="str">
        <f>"2035313323"</f>
        <v>2035313323</v>
      </c>
      <c r="I324" t="str">
        <f t="shared" si="36"/>
        <v>ENGLISH</v>
      </c>
    </row>
    <row r="325" spans="1:9" x14ac:dyDescent="0.3">
      <c r="A325" t="str">
        <f>"GREENVILLE DRUG STORE, INC"</f>
        <v>GREENVILLE DRUG STORE, INC</v>
      </c>
      <c r="B325" t="str">
        <f t="shared" si="37"/>
        <v>Pharmacy</v>
      </c>
      <c r="C325" t="str">
        <f>"213 CENTRAL AVE"</f>
        <v>213 CENTRAL AVE</v>
      </c>
      <c r="D325" t="str">
        <f>""</f>
        <v/>
      </c>
      <c r="E325" t="str">
        <f>"NORWICH"</f>
        <v>NORWICH</v>
      </c>
      <c r="F325" t="str">
        <f t="shared" si="38"/>
        <v>CT</v>
      </c>
      <c r="G325" t="str">
        <f>"06360"</f>
        <v>06360</v>
      </c>
      <c r="H325" t="str">
        <f>"8608899857"</f>
        <v>8608899857</v>
      </c>
      <c r="I325" t="str">
        <f t="shared" si="36"/>
        <v>ENGLISH</v>
      </c>
    </row>
    <row r="326" spans="1:9" x14ac:dyDescent="0.3">
      <c r="A326" t="str">
        <f>"GRIEBS DARIEN PHARMACY INC"</f>
        <v>GRIEBS DARIEN PHARMACY INC</v>
      </c>
      <c r="B326" t="str">
        <f t="shared" si="37"/>
        <v>Pharmacy</v>
      </c>
      <c r="C326" t="str">
        <f>"1021 POST ROAD"</f>
        <v>1021 POST ROAD</v>
      </c>
      <c r="D326" t="str">
        <f>""</f>
        <v/>
      </c>
      <c r="E326" t="str">
        <f>"DARIEN"</f>
        <v>DARIEN</v>
      </c>
      <c r="F326" t="str">
        <f t="shared" si="38"/>
        <v>CT</v>
      </c>
      <c r="G326" t="str">
        <f>"06820"</f>
        <v>06820</v>
      </c>
      <c r="H326" t="str">
        <f>"2036551000"</f>
        <v>2036551000</v>
      </c>
      <c r="I326" t="str">
        <f t="shared" si="36"/>
        <v>ENGLISH</v>
      </c>
    </row>
    <row r="327" spans="1:9" x14ac:dyDescent="0.3">
      <c r="A327" t="str">
        <f>"GRIFFIN PHARMACY &amp; GIFTS"</f>
        <v>GRIFFIN PHARMACY &amp; GIFTS</v>
      </c>
      <c r="B327" t="str">
        <f t="shared" si="37"/>
        <v>Pharmacy</v>
      </c>
      <c r="C327" t="str">
        <f>"130 DIVISION STREET"</f>
        <v>130 DIVISION STREET</v>
      </c>
      <c r="D327" t="str">
        <f>""</f>
        <v/>
      </c>
      <c r="E327" t="str">
        <f>"DERBY"</f>
        <v>DERBY</v>
      </c>
      <c r="F327" t="str">
        <f t="shared" si="38"/>
        <v>CT</v>
      </c>
      <c r="G327" t="str">
        <f>"06418"</f>
        <v>06418</v>
      </c>
      <c r="H327" t="str">
        <f>"2037321490"</f>
        <v>2037321490</v>
      </c>
      <c r="I327" t="str">
        <f t="shared" si="36"/>
        <v>ENGLISH</v>
      </c>
    </row>
    <row r="328" spans="1:9" x14ac:dyDescent="0.3">
      <c r="A328" t="str">
        <f>"HAMDEN MARKETS LLC"</f>
        <v>HAMDEN MARKETS LLC</v>
      </c>
      <c r="B328" t="str">
        <f t="shared" si="37"/>
        <v>Pharmacy</v>
      </c>
      <c r="C328" t="str">
        <f>"2100 DIXWELL AVENUE"</f>
        <v>2100 DIXWELL AVENUE</v>
      </c>
      <c r="D328" t="str">
        <f>""</f>
        <v/>
      </c>
      <c r="E328" t="str">
        <f>"HAMDEN"</f>
        <v>HAMDEN</v>
      </c>
      <c r="F328" t="str">
        <f t="shared" si="38"/>
        <v>CT</v>
      </c>
      <c r="G328" t="str">
        <f>"06514"</f>
        <v>06514</v>
      </c>
      <c r="H328" t="str">
        <f>"2032308019"</f>
        <v>2032308019</v>
      </c>
      <c r="I328" t="str">
        <f t="shared" si="36"/>
        <v>ENGLISH</v>
      </c>
    </row>
    <row r="329" spans="1:9" x14ac:dyDescent="0.3">
      <c r="A329" t="str">
        <f>"HANCOCK LTC"</f>
        <v>HANCOCK LTC</v>
      </c>
      <c r="B329" t="str">
        <f t="shared" si="37"/>
        <v>Pharmacy</v>
      </c>
      <c r="C329" t="str">
        <f>"840 E. MAIN ST. STE B"</f>
        <v>840 E. MAIN ST. STE B</v>
      </c>
      <c r="D329" t="str">
        <f>""</f>
        <v/>
      </c>
      <c r="E329" t="str">
        <f>"MERIDEN"</f>
        <v>MERIDEN</v>
      </c>
      <c r="F329" t="str">
        <f t="shared" si="38"/>
        <v>CT</v>
      </c>
      <c r="G329" t="str">
        <f>"06450"</f>
        <v>06450</v>
      </c>
      <c r="H329" t="str">
        <f>"2032350288"</f>
        <v>2032350288</v>
      </c>
      <c r="I329" t="str">
        <f t="shared" si="36"/>
        <v>ENGLISH</v>
      </c>
    </row>
    <row r="330" spans="1:9" x14ac:dyDescent="0.3">
      <c r="A330" t="str">
        <f>"HANCOCK PHARMACY &amp; SURGICAL INC"</f>
        <v>HANCOCK PHARMACY &amp; SURGICAL INC</v>
      </c>
      <c r="B330" t="str">
        <f t="shared" si="37"/>
        <v>Pharmacy</v>
      </c>
      <c r="C330" t="str">
        <f>"840 E MAIN ST"</f>
        <v>840 E MAIN ST</v>
      </c>
      <c r="D330" t="str">
        <f>""</f>
        <v/>
      </c>
      <c r="E330" t="str">
        <f>"MERIDEN"</f>
        <v>MERIDEN</v>
      </c>
      <c r="F330" t="str">
        <f t="shared" si="38"/>
        <v>CT</v>
      </c>
      <c r="G330" t="str">
        <f>"06450"</f>
        <v>06450</v>
      </c>
      <c r="H330" t="str">
        <f>"2032356323"</f>
        <v>2032356323</v>
      </c>
      <c r="I330" t="str">
        <f t="shared" si="36"/>
        <v>ENGLISH</v>
      </c>
    </row>
    <row r="331" spans="1:9" x14ac:dyDescent="0.3">
      <c r="A331" t="str">
        <f>"HANCOCK PHARMACY &amp; SURGICAL INC"</f>
        <v>HANCOCK PHARMACY &amp; SURGICAL INC</v>
      </c>
      <c r="B331" t="str">
        <f t="shared" si="37"/>
        <v>Pharmacy</v>
      </c>
      <c r="C331" t="str">
        <f>"840 EAST MAIN STREET"</f>
        <v>840 EAST MAIN STREET</v>
      </c>
      <c r="D331" t="str">
        <f>""</f>
        <v/>
      </c>
      <c r="E331" t="str">
        <f>"MERIDEN"</f>
        <v>MERIDEN</v>
      </c>
      <c r="F331" t="str">
        <f t="shared" si="38"/>
        <v>CT</v>
      </c>
      <c r="G331" t="str">
        <f>"06450"</f>
        <v>06450</v>
      </c>
      <c r="H331" t="str">
        <f>"2032356323"</f>
        <v>2032356323</v>
      </c>
      <c r="I331" t="str">
        <f t="shared" si="36"/>
        <v>ENGLISH</v>
      </c>
    </row>
    <row r="332" spans="1:9" x14ac:dyDescent="0.3">
      <c r="A332" t="str">
        <f>"HANCOCK PHARMACY AT LONG WHARF INC"</f>
        <v>HANCOCK PHARMACY AT LONG WHARF INC</v>
      </c>
      <c r="B332" t="str">
        <f t="shared" si="37"/>
        <v>Pharmacy</v>
      </c>
      <c r="C332" t="str">
        <f>"1 LONG WHARF DRIVE"</f>
        <v>1 LONG WHARF DRIVE</v>
      </c>
      <c r="D332" t="str">
        <f>"SUITE 116"</f>
        <v>SUITE 116</v>
      </c>
      <c r="E332" t="str">
        <f>"NEW HAVEN"</f>
        <v>NEW HAVEN</v>
      </c>
      <c r="F332" t="str">
        <f t="shared" si="38"/>
        <v>CT</v>
      </c>
      <c r="G332" t="str">
        <f>"06511"</f>
        <v>06511</v>
      </c>
      <c r="H332" t="str">
        <f>"2037879908"</f>
        <v>2037879908</v>
      </c>
      <c r="I332" t="str">
        <f t="shared" si="36"/>
        <v>ENGLISH</v>
      </c>
    </row>
    <row r="333" spans="1:9" x14ac:dyDescent="0.3">
      <c r="A333" t="str">
        <f>"HANCOCK PHARMACY II LLC"</f>
        <v>HANCOCK PHARMACY II LLC</v>
      </c>
      <c r="B333" t="str">
        <f t="shared" si="37"/>
        <v>Pharmacy</v>
      </c>
      <c r="C333" t="str">
        <f>"1020 FAIRFIELD AVE"</f>
        <v>1020 FAIRFIELD AVE</v>
      </c>
      <c r="D333" t="str">
        <f>""</f>
        <v/>
      </c>
      <c r="E333" t="str">
        <f>"BRIDGEPORT"</f>
        <v>BRIDGEPORT</v>
      </c>
      <c r="F333" t="str">
        <f t="shared" si="38"/>
        <v>CT</v>
      </c>
      <c r="G333" t="str">
        <f>"06605"</f>
        <v>06605</v>
      </c>
      <c r="H333" t="str">
        <f>"2035769000"</f>
        <v>2035769000</v>
      </c>
      <c r="I333" t="str">
        <f>"ENGLISH;HINDI;SPANISH;TELUGU"</f>
        <v>ENGLISH;HINDI;SPANISH;TELUGU</v>
      </c>
    </row>
    <row r="334" spans="1:9" x14ac:dyDescent="0.3">
      <c r="A334" t="str">
        <f>"HANCOCK PHARMACY III, LLC"</f>
        <v>HANCOCK PHARMACY III, LLC</v>
      </c>
      <c r="B334" t="str">
        <f t="shared" si="37"/>
        <v>Pharmacy</v>
      </c>
      <c r="C334" t="str">
        <f>"3768 MAIN ST"</f>
        <v>3768 MAIN ST</v>
      </c>
      <c r="D334" t="str">
        <f>""</f>
        <v/>
      </c>
      <c r="E334" t="str">
        <f>"BRIDGEPORT"</f>
        <v>BRIDGEPORT</v>
      </c>
      <c r="F334" t="str">
        <f t="shared" si="38"/>
        <v>CT</v>
      </c>
      <c r="G334" t="str">
        <f>"06606"</f>
        <v>06606</v>
      </c>
      <c r="H334" t="str">
        <f>"2033729900"</f>
        <v>2033729900</v>
      </c>
      <c r="I334" t="str">
        <f>"ENGLISH"</f>
        <v>ENGLISH</v>
      </c>
    </row>
    <row r="335" spans="1:9" x14ac:dyDescent="0.3">
      <c r="A335" t="str">
        <f>"HANCOCK PHARMACY IV LLC"</f>
        <v>HANCOCK PHARMACY IV LLC</v>
      </c>
      <c r="B335" t="str">
        <f t="shared" si="37"/>
        <v>Pharmacy</v>
      </c>
      <c r="C335" t="str">
        <f>"95 WAKELEE AVENUE"</f>
        <v>95 WAKELEE AVENUE</v>
      </c>
      <c r="D335" t="str">
        <f>""</f>
        <v/>
      </c>
      <c r="E335" t="str">
        <f>"ANSONIA"</f>
        <v>ANSONIA</v>
      </c>
      <c r="F335" t="str">
        <f t="shared" si="38"/>
        <v>CT</v>
      </c>
      <c r="G335" t="str">
        <f>"06401"</f>
        <v>06401</v>
      </c>
      <c r="H335" t="str">
        <f>"2037348900"</f>
        <v>2037348900</v>
      </c>
      <c r="I335" t="str">
        <f>"ENGLISH;SPANISH"</f>
        <v>ENGLISH;SPANISH</v>
      </c>
    </row>
    <row r="336" spans="1:9" x14ac:dyDescent="0.3">
      <c r="A336" t="str">
        <f>"HANCOCK PHARMACY V LLC"</f>
        <v>HANCOCK PHARMACY V LLC</v>
      </c>
      <c r="B336" t="str">
        <f t="shared" si="37"/>
        <v>Pharmacy</v>
      </c>
      <c r="C336" t="str">
        <f>"644 MAIN STREET"</f>
        <v>644 MAIN STREET</v>
      </c>
      <c r="D336" t="str">
        <f>""</f>
        <v/>
      </c>
      <c r="E336" t="str">
        <f>"MIDDLETOWN"</f>
        <v>MIDDLETOWN</v>
      </c>
      <c r="F336" t="str">
        <f t="shared" si="38"/>
        <v>CT</v>
      </c>
      <c r="G336" t="str">
        <f>"06457"</f>
        <v>06457</v>
      </c>
      <c r="H336" t="str">
        <f>"8603469700"</f>
        <v>8603469700</v>
      </c>
      <c r="I336" t="str">
        <f>"ENGLISH;SPANISH"</f>
        <v>ENGLISH;SPANISH</v>
      </c>
    </row>
    <row r="337" spans="1:9" x14ac:dyDescent="0.3">
      <c r="A337" t="str">
        <f>"HANCOCK PHARMACY VII LLC"</f>
        <v>HANCOCK PHARMACY VII LLC</v>
      </c>
      <c r="B337" t="str">
        <f t="shared" si="37"/>
        <v>Pharmacy</v>
      </c>
      <c r="C337" t="str">
        <f>"306 GRAND AVE"</f>
        <v>306 GRAND AVE</v>
      </c>
      <c r="D337" t="str">
        <f>""</f>
        <v/>
      </c>
      <c r="E337" t="str">
        <f>"NEW HAVEN"</f>
        <v>NEW HAVEN</v>
      </c>
      <c r="F337" t="str">
        <f t="shared" si="38"/>
        <v>CT</v>
      </c>
      <c r="G337" t="str">
        <f>"06513"</f>
        <v>06513</v>
      </c>
      <c r="H337" t="str">
        <f>"2037767100"</f>
        <v>2037767100</v>
      </c>
      <c r="I337" t="str">
        <f>"ENGLISH;SPANISH"</f>
        <v>ENGLISH;SPANISH</v>
      </c>
    </row>
    <row r="338" spans="1:9" x14ac:dyDescent="0.3">
      <c r="A338" t="str">
        <f>"HARTCARE LLC"</f>
        <v>HARTCARE LLC</v>
      </c>
      <c r="B338" t="str">
        <f t="shared" si="37"/>
        <v>Pharmacy</v>
      </c>
      <c r="C338" t="str">
        <f>"753 MAPLE AVENUE"</f>
        <v>753 MAPLE AVENUE</v>
      </c>
      <c r="D338" t="str">
        <f>""</f>
        <v/>
      </c>
      <c r="E338" t="str">
        <f t="shared" ref="E338:E343" si="39">"HARTFORD"</f>
        <v>HARTFORD</v>
      </c>
      <c r="F338" t="str">
        <f t="shared" si="38"/>
        <v>CT</v>
      </c>
      <c r="G338" t="str">
        <f>"06114"</f>
        <v>06114</v>
      </c>
      <c r="H338" t="str">
        <f>"8602638585"</f>
        <v>8602638585</v>
      </c>
      <c r="I338" t="str">
        <f>"ENGLISH;HINDI;SPANISH"</f>
        <v>ENGLISH;HINDI;SPANISH</v>
      </c>
    </row>
    <row r="339" spans="1:9" x14ac:dyDescent="0.3">
      <c r="A339" t="str">
        <f>"HARTFORD HOSPITAL"</f>
        <v>HARTFORD HOSPITAL</v>
      </c>
      <c r="B339" t="str">
        <f t="shared" si="37"/>
        <v>Pharmacy</v>
      </c>
      <c r="C339" t="str">
        <f>"80 SEYMOUR STREET"</f>
        <v>80 SEYMOUR STREET</v>
      </c>
      <c r="D339" t="str">
        <f>"HARTFORD HOSPITAL MEDICINE DE"</f>
        <v>HARTFORD HOSPITAL MEDICINE DE</v>
      </c>
      <c r="E339" t="str">
        <f t="shared" si="39"/>
        <v>HARTFORD</v>
      </c>
      <c r="F339" t="str">
        <f t="shared" si="38"/>
        <v>CT</v>
      </c>
      <c r="G339" t="str">
        <f>"06102"</f>
        <v>06102</v>
      </c>
      <c r="H339" t="str">
        <f>"8609720549"</f>
        <v>8609720549</v>
      </c>
      <c r="I339" t="str">
        <f>"ENGLISH"</f>
        <v>ENGLISH</v>
      </c>
    </row>
    <row r="340" spans="1:9" x14ac:dyDescent="0.3">
      <c r="A340" t="str">
        <f>"HARTFORD HOSPITAL"</f>
        <v>HARTFORD HOSPITAL</v>
      </c>
      <c r="B340" t="str">
        <f t="shared" si="37"/>
        <v>Pharmacy</v>
      </c>
      <c r="C340" t="str">
        <f>"85 SEYMOUR STREET"</f>
        <v>85 SEYMOUR STREET</v>
      </c>
      <c r="D340" t="str">
        <f>""</f>
        <v/>
      </c>
      <c r="E340" t="str">
        <f t="shared" si="39"/>
        <v>HARTFORD</v>
      </c>
      <c r="F340" t="str">
        <f t="shared" si="38"/>
        <v>CT</v>
      </c>
      <c r="G340" t="str">
        <f>"06106"</f>
        <v>06106</v>
      </c>
      <c r="H340" t="str">
        <f>"8609727070"</f>
        <v>8609727070</v>
      </c>
      <c r="I340" t="str">
        <f>"ENGLISH"</f>
        <v>ENGLISH</v>
      </c>
    </row>
    <row r="341" spans="1:9" x14ac:dyDescent="0.3">
      <c r="A341" t="str">
        <f>"HARTFORD HOSPITAL"</f>
        <v>HARTFORD HOSPITAL</v>
      </c>
      <c r="B341" t="str">
        <f t="shared" si="37"/>
        <v>Pharmacy</v>
      </c>
      <c r="C341" t="str">
        <f>"85 SEYMOUR ST"</f>
        <v>85 SEYMOUR ST</v>
      </c>
      <c r="D341" t="str">
        <f>"SUITE 105"</f>
        <v>SUITE 105</v>
      </c>
      <c r="E341" t="str">
        <f t="shared" si="39"/>
        <v>HARTFORD</v>
      </c>
      <c r="F341" t="str">
        <f t="shared" si="38"/>
        <v>CT</v>
      </c>
      <c r="G341" t="str">
        <f>"06106"</f>
        <v>06106</v>
      </c>
      <c r="H341" t="str">
        <f>"8609727070"</f>
        <v>8609727070</v>
      </c>
      <c r="I341" t="str">
        <f>"ENGLISH;SPANISH"</f>
        <v>ENGLISH;SPANISH</v>
      </c>
    </row>
    <row r="342" spans="1:9" x14ac:dyDescent="0.3">
      <c r="A342" t="str">
        <f>"HARTFORD PHARMACY"</f>
        <v>HARTFORD PHARMACY</v>
      </c>
      <c r="B342" t="str">
        <f t="shared" si="37"/>
        <v>Pharmacy</v>
      </c>
      <c r="C342" t="str">
        <f>"531 PARK STREET"</f>
        <v>531 PARK STREET</v>
      </c>
      <c r="D342" t="str">
        <f>""</f>
        <v/>
      </c>
      <c r="E342" t="str">
        <f t="shared" si="39"/>
        <v>HARTFORD</v>
      </c>
      <c r="F342" t="str">
        <f t="shared" si="38"/>
        <v>CT</v>
      </c>
      <c r="G342" t="str">
        <f>"06106"</f>
        <v>06106</v>
      </c>
      <c r="H342" t="str">
        <f>"8604228888"</f>
        <v>8604228888</v>
      </c>
      <c r="I342" t="str">
        <f>"ENGLISH;SPANISH"</f>
        <v>ENGLISH;SPANISH</v>
      </c>
    </row>
    <row r="343" spans="1:9" x14ac:dyDescent="0.3">
      <c r="A343" t="str">
        <f>"HARTFORD PHARMACY II INC"</f>
        <v>HARTFORD PHARMACY II INC</v>
      </c>
      <c r="B343" t="str">
        <f t="shared" si="37"/>
        <v>Pharmacy</v>
      </c>
      <c r="C343" t="str">
        <f>"57 PARK ST"</f>
        <v>57 PARK ST</v>
      </c>
      <c r="D343" t="str">
        <f>""</f>
        <v/>
      </c>
      <c r="E343" t="str">
        <f t="shared" si="39"/>
        <v>HARTFORD</v>
      </c>
      <c r="F343" t="str">
        <f t="shared" si="38"/>
        <v>CT</v>
      </c>
      <c r="G343" t="str">
        <f>"06106"</f>
        <v>06106</v>
      </c>
      <c r="H343" t="str">
        <f>"8602442222"</f>
        <v>8602442222</v>
      </c>
      <c r="I343" t="str">
        <f>"ENGLISH"</f>
        <v>ENGLISH</v>
      </c>
    </row>
    <row r="344" spans="1:9" x14ac:dyDescent="0.3">
      <c r="A344" t="str">
        <f>"HCAI PHARMACY"</f>
        <v>HCAI PHARMACY</v>
      </c>
      <c r="B344" t="str">
        <f t="shared" si="37"/>
        <v>Pharmacy</v>
      </c>
      <c r="C344" t="str">
        <f>"2595 MAIN ST"</f>
        <v>2595 MAIN ST</v>
      </c>
      <c r="D344" t="str">
        <f>"FIRST FLOOR"</f>
        <v>FIRST FLOOR</v>
      </c>
      <c r="E344" t="str">
        <f>"STRATFORD"</f>
        <v>STRATFORD</v>
      </c>
      <c r="F344" t="str">
        <f t="shared" si="38"/>
        <v>CT</v>
      </c>
      <c r="G344" t="str">
        <f>"06615"</f>
        <v>06615</v>
      </c>
      <c r="H344" t="str">
        <f>"2033450404"</f>
        <v>2033450404</v>
      </c>
      <c r="I344" t="str">
        <f>"ENGLISH"</f>
        <v>ENGLISH</v>
      </c>
    </row>
    <row r="345" spans="1:9" x14ac:dyDescent="0.3">
      <c r="A345" t="str">
        <f>"HEALTH CARE ADVOCATES INTERNATIONAL, LLC"</f>
        <v>HEALTH CARE ADVOCATES INTERNATIONAL, LLC</v>
      </c>
      <c r="B345" t="str">
        <f t="shared" si="37"/>
        <v>Pharmacy</v>
      </c>
      <c r="C345" t="str">
        <f>"2595 MAIN STREET"</f>
        <v>2595 MAIN STREET</v>
      </c>
      <c r="D345" t="str">
        <f>"FIRST FLOOR"</f>
        <v>FIRST FLOOR</v>
      </c>
      <c r="E345" t="str">
        <f>"STRATFORD, CT 06615"</f>
        <v>STRATFORD, CT 06615</v>
      </c>
      <c r="F345" t="str">
        <f t="shared" si="38"/>
        <v>CT</v>
      </c>
      <c r="G345" t="str">
        <f>"06615"</f>
        <v>06615</v>
      </c>
      <c r="H345" t="str">
        <f>"2033450404"</f>
        <v>2033450404</v>
      </c>
      <c r="I345" t="str">
        <f>"ENGLISH"</f>
        <v>ENGLISH</v>
      </c>
    </row>
    <row r="346" spans="1:9" x14ac:dyDescent="0.3">
      <c r="A346" t="str">
        <f>"HEALTH COMPLEX MEDICAL LLC"</f>
        <v>HEALTH COMPLEX MEDICAL LLC</v>
      </c>
      <c r="B346" t="str">
        <f t="shared" si="37"/>
        <v>Pharmacy</v>
      </c>
      <c r="C346" t="str">
        <f>"84 PROGRESS LANE"</f>
        <v>84 PROGRESS LANE</v>
      </c>
      <c r="D346" t="str">
        <f>""</f>
        <v/>
      </c>
      <c r="E346" t="str">
        <f>"WATERBURY"</f>
        <v>WATERBURY</v>
      </c>
      <c r="F346" t="str">
        <f t="shared" si="38"/>
        <v>CT</v>
      </c>
      <c r="G346" t="str">
        <f>"06705"</f>
        <v>06705</v>
      </c>
      <c r="H346" t="str">
        <f>"2037537778"</f>
        <v>2037537778</v>
      </c>
      <c r="I346" t="str">
        <f>"ENGLISH;SPANISH"</f>
        <v>ENGLISH;SPANISH</v>
      </c>
    </row>
    <row r="347" spans="1:9" x14ac:dyDescent="0.3">
      <c r="A347" t="str">
        <f>"HEALTHSTAR PHARMACY INC"</f>
        <v>HEALTHSTAR PHARMACY INC</v>
      </c>
      <c r="B347" t="str">
        <f t="shared" si="37"/>
        <v>Pharmacy</v>
      </c>
      <c r="C347" t="str">
        <f>"5 WALKER ST. STE 1"</f>
        <v>5 WALKER ST. STE 1</v>
      </c>
      <c r="D347" t="str">
        <f>"DBA / LENOX VILLAGE PHARMACY"</f>
        <v>DBA / LENOX VILLAGE PHARMACY</v>
      </c>
      <c r="E347" t="str">
        <f>"LENOX"</f>
        <v>LENOX</v>
      </c>
      <c r="F347" t="str">
        <f>"MA"</f>
        <v>MA</v>
      </c>
      <c r="G347" t="str">
        <f>"01240"</f>
        <v>01240</v>
      </c>
      <c r="H347" t="str">
        <f>"4136374700"</f>
        <v>4136374700</v>
      </c>
      <c r="I347" t="str">
        <f>"ENGLISH"</f>
        <v>ENGLISH</v>
      </c>
    </row>
    <row r="348" spans="1:9" x14ac:dyDescent="0.3">
      <c r="A348" t="str">
        <f>"HIGGANUM PHARMACY LLC"</f>
        <v>HIGGANUM PHARMACY LLC</v>
      </c>
      <c r="B348" t="str">
        <f t="shared" si="37"/>
        <v>Pharmacy</v>
      </c>
      <c r="C348" t="str">
        <f>"23 KILLINGWORTH ROAD"</f>
        <v>23 KILLINGWORTH ROAD</v>
      </c>
      <c r="D348" t="str">
        <f>""</f>
        <v/>
      </c>
      <c r="E348" t="str">
        <f>"HIGGANUM"</f>
        <v>HIGGANUM</v>
      </c>
      <c r="F348" t="str">
        <f>"CT"</f>
        <v>CT</v>
      </c>
      <c r="G348" t="str">
        <f>"06441"</f>
        <v>06441</v>
      </c>
      <c r="H348" t="str">
        <f>"8603453607"</f>
        <v>8603453607</v>
      </c>
      <c r="I348" t="str">
        <f>"ENGLISH;PORTUGUESE;SPANISH"</f>
        <v>ENGLISH;PORTUGUESE;SPANISH</v>
      </c>
    </row>
    <row r="349" spans="1:9" x14ac:dyDescent="0.3">
      <c r="A349" t="str">
        <f>"HOPMEADOW APOTHECARY"</f>
        <v>HOPMEADOW APOTHECARY</v>
      </c>
      <c r="B349" t="str">
        <f t="shared" si="37"/>
        <v>Pharmacy</v>
      </c>
      <c r="C349" t="str">
        <f>"1300 HOPMEADOW ST"</f>
        <v>1300 HOPMEADOW ST</v>
      </c>
      <c r="D349" t="str">
        <f>""</f>
        <v/>
      </c>
      <c r="E349" t="str">
        <f>"SIMSBURY"</f>
        <v>SIMSBURY</v>
      </c>
      <c r="F349" t="str">
        <f>"CT"</f>
        <v>CT</v>
      </c>
      <c r="G349" t="str">
        <f>"06070"</f>
        <v>06070</v>
      </c>
      <c r="H349" t="str">
        <f>"8606513331"</f>
        <v>8606513331</v>
      </c>
      <c r="I349" t="str">
        <f>"ENGLISH;FRENCH"</f>
        <v>ENGLISH;FRENCH</v>
      </c>
    </row>
    <row r="350" spans="1:9" x14ac:dyDescent="0.3">
      <c r="A350" t="str">
        <f>"HUMANA INSURANCE COMPANY"</f>
        <v>HUMANA INSURANCE COMPANY</v>
      </c>
      <c r="B350" t="str">
        <f t="shared" si="37"/>
        <v>Pharmacy</v>
      </c>
      <c r="C350" t="str">
        <f>"195 SCOTT SWAMP RD"</f>
        <v>195 SCOTT SWAMP RD</v>
      </c>
      <c r="D350" t="str">
        <f>""</f>
        <v/>
      </c>
      <c r="E350" t="str">
        <f>""</f>
        <v/>
      </c>
      <c r="F350" t="str">
        <f>"CT"</f>
        <v>CT</v>
      </c>
      <c r="G350" t="str">
        <f>"     "</f>
        <v xml:space="preserve">     </v>
      </c>
      <c r="H350" t="str">
        <f>"8602553900"</f>
        <v>8602553900</v>
      </c>
      <c r="I350" t="str">
        <f>"ENGLISH;FRENCH"</f>
        <v>ENGLISH;FRENCH</v>
      </c>
    </row>
    <row r="351" spans="1:9" x14ac:dyDescent="0.3">
      <c r="A351" t="str">
        <f>"JEWETT CITY PHARMACY INC"</f>
        <v>JEWETT CITY PHARMACY INC</v>
      </c>
      <c r="B351" t="str">
        <f t="shared" si="37"/>
        <v>Pharmacy</v>
      </c>
      <c r="C351" t="str">
        <f>"78 MAIN ST"</f>
        <v>78 MAIN ST</v>
      </c>
      <c r="D351" t="str">
        <f>""</f>
        <v/>
      </c>
      <c r="E351" t="str">
        <f>"JEWETT CITY"</f>
        <v>JEWETT CITY</v>
      </c>
      <c r="F351" t="str">
        <f>"CT"</f>
        <v>CT</v>
      </c>
      <c r="G351" t="str">
        <f>"06351"</f>
        <v>06351</v>
      </c>
      <c r="H351" t="str">
        <f>"8603764468"</f>
        <v>8603764468</v>
      </c>
      <c r="I351" t="str">
        <f>"ENGLISH"</f>
        <v>ENGLISH</v>
      </c>
    </row>
    <row r="352" spans="1:9" x14ac:dyDescent="0.3">
      <c r="A352" t="str">
        <f>"JNR PHARMACY BREWSTER INC"</f>
        <v>JNR PHARMACY BREWSTER INC</v>
      </c>
      <c r="B352" t="str">
        <f t="shared" si="37"/>
        <v>Pharmacy</v>
      </c>
      <c r="C352" t="str">
        <f>"2505 CARMEL AVENUE"</f>
        <v>2505 CARMEL AVENUE</v>
      </c>
      <c r="D352" t="str">
        <f>"SUITES 110-111"</f>
        <v>SUITES 110-111</v>
      </c>
      <c r="E352" t="str">
        <f>"BREWSTER"</f>
        <v>BREWSTER</v>
      </c>
      <c r="F352" t="str">
        <f>"NY"</f>
        <v>NY</v>
      </c>
      <c r="G352" t="str">
        <f>"10509"</f>
        <v>10509</v>
      </c>
      <c r="H352" t="str">
        <f>"8452788200"</f>
        <v>8452788200</v>
      </c>
      <c r="I352" t="str">
        <f>"ENGLISH;SPANISH;URDU"</f>
        <v>ENGLISH;SPANISH;URDU</v>
      </c>
    </row>
    <row r="353" spans="1:9" x14ac:dyDescent="0.3">
      <c r="A353" t="str">
        <f>"JWA SERVICES INC"</f>
        <v>JWA SERVICES INC</v>
      </c>
      <c r="B353" t="str">
        <f t="shared" si="37"/>
        <v>Pharmacy</v>
      </c>
      <c r="C353" t="str">
        <f>"92 BOSTON POST RD"</f>
        <v>92 BOSTON POST RD</v>
      </c>
      <c r="D353" t="str">
        <f>""</f>
        <v/>
      </c>
      <c r="E353" t="str">
        <f>"WATERFORD"</f>
        <v>WATERFORD</v>
      </c>
      <c r="F353" t="str">
        <f>"CT"</f>
        <v>CT</v>
      </c>
      <c r="G353" t="str">
        <f>"06385"</f>
        <v>06385</v>
      </c>
      <c r="H353" t="str">
        <f>"8608651303"</f>
        <v>8608651303</v>
      </c>
      <c r="I353" t="str">
        <f>"ENGLISH;SPANISH"</f>
        <v>ENGLISH;SPANISH</v>
      </c>
    </row>
    <row r="354" spans="1:9" x14ac:dyDescent="0.3">
      <c r="A354" t="str">
        <f>"K &amp; K RX SERVICES, LP"</f>
        <v>K &amp; K RX SERVICES, LP</v>
      </c>
      <c r="B354" t="str">
        <f t="shared" si="37"/>
        <v>Pharmacy</v>
      </c>
      <c r="C354" t="str">
        <f>"3070 MCCANN FARM DRIVE"</f>
        <v>3070 MCCANN FARM DRIVE</v>
      </c>
      <c r="D354" t="str">
        <f>"SUITE 101"</f>
        <v>SUITE 101</v>
      </c>
      <c r="E354" t="str">
        <f>"GARNET VALLEY"</f>
        <v>GARNET VALLEY</v>
      </c>
      <c r="F354" t="str">
        <f>"PA"</f>
        <v>PA</v>
      </c>
      <c r="G354" t="str">
        <f>"19060"</f>
        <v>19060</v>
      </c>
      <c r="H354" t="str">
        <f>"8553599679"</f>
        <v>8553599679</v>
      </c>
      <c r="I354" t="str">
        <f t="shared" ref="I354:I359" si="40">"ENGLISH"</f>
        <v>ENGLISH</v>
      </c>
    </row>
    <row r="355" spans="1:9" x14ac:dyDescent="0.3">
      <c r="A355" t="str">
        <f>"KABILA WELLNESS LLC"</f>
        <v>KABILA WELLNESS LLC</v>
      </c>
      <c r="B355" t="str">
        <f t="shared" si="37"/>
        <v>Pharmacy</v>
      </c>
      <c r="C355" t="str">
        <f>"4 CORPORATE DR SUITE 392"</f>
        <v>4 CORPORATE DR SUITE 392</v>
      </c>
      <c r="D355" t="str">
        <f>""</f>
        <v/>
      </c>
      <c r="E355" t="str">
        <f>"SHELTON"</f>
        <v>SHELTON</v>
      </c>
      <c r="F355" t="str">
        <f>"CT"</f>
        <v>CT</v>
      </c>
      <c r="G355" t="str">
        <f>"06484"</f>
        <v>06484</v>
      </c>
      <c r="H355" t="str">
        <f>"2034470088"</f>
        <v>2034470088</v>
      </c>
      <c r="I355" t="str">
        <f t="shared" si="40"/>
        <v>ENGLISH</v>
      </c>
    </row>
    <row r="356" spans="1:9" x14ac:dyDescent="0.3">
      <c r="A356" t="str">
        <f>"KENT APOTHECARY"</f>
        <v>KENT APOTHECARY</v>
      </c>
      <c r="B356" t="str">
        <f t="shared" si="37"/>
        <v>Pharmacy</v>
      </c>
      <c r="C356" t="str">
        <f>"38 NORTH MAIN STREET"</f>
        <v>38 NORTH MAIN STREET</v>
      </c>
      <c r="D356" t="str">
        <f>""</f>
        <v/>
      </c>
      <c r="E356" t="str">
        <f>"KENT"</f>
        <v>KENT</v>
      </c>
      <c r="F356" t="str">
        <f>"CT"</f>
        <v>CT</v>
      </c>
      <c r="G356" t="str">
        <f>"06757"</f>
        <v>06757</v>
      </c>
      <c r="H356" t="str">
        <f>"8609273725"</f>
        <v>8609273725</v>
      </c>
      <c r="I356" t="str">
        <f t="shared" si="40"/>
        <v>ENGLISH</v>
      </c>
    </row>
    <row r="357" spans="1:9" x14ac:dyDescent="0.3">
      <c r="A357" t="str">
        <f>"KILLINGWORTH FAMILY PHARMACY INC."</f>
        <v>KILLINGWORTH FAMILY PHARMACY INC.</v>
      </c>
      <c r="B357" t="str">
        <f t="shared" si="37"/>
        <v>Pharmacy</v>
      </c>
      <c r="C357" t="str">
        <f>"183 ROUTE 81 UNIT 3"</f>
        <v>183 ROUTE 81 UNIT 3</v>
      </c>
      <c r="D357" t="str">
        <f>""</f>
        <v/>
      </c>
      <c r="E357" t="str">
        <f>"KILLINGWORTH"</f>
        <v>KILLINGWORTH</v>
      </c>
      <c r="F357" t="str">
        <f>"CT"</f>
        <v>CT</v>
      </c>
      <c r="G357" t="str">
        <f>"06419"</f>
        <v>06419</v>
      </c>
      <c r="H357" t="str">
        <f>"8604524275"</f>
        <v>8604524275</v>
      </c>
      <c r="I357" t="str">
        <f t="shared" si="40"/>
        <v>ENGLISH</v>
      </c>
    </row>
    <row r="358" spans="1:9" x14ac:dyDescent="0.3">
      <c r="A358" t="str">
        <f>"KURE RX"</f>
        <v>KURE RX</v>
      </c>
      <c r="B358" t="str">
        <f t="shared" si="37"/>
        <v>Pharmacy</v>
      </c>
      <c r="C358" t="str">
        <f>"1156 ALBANY AVENUE"</f>
        <v>1156 ALBANY AVENUE</v>
      </c>
      <c r="D358" t="str">
        <f>""</f>
        <v/>
      </c>
      <c r="E358" t="str">
        <f>"HARTFORD"</f>
        <v>HARTFORD</v>
      </c>
      <c r="F358" t="str">
        <f>"CT"</f>
        <v>CT</v>
      </c>
      <c r="G358" t="str">
        <f>"06112"</f>
        <v>06112</v>
      </c>
      <c r="H358" t="str">
        <f>"8602063890"</f>
        <v>8602063890</v>
      </c>
      <c r="I358" t="str">
        <f t="shared" si="40"/>
        <v>ENGLISH</v>
      </c>
    </row>
    <row r="359" spans="1:9" x14ac:dyDescent="0.3">
      <c r="A359" t="str">
        <f>"L B SWITZER INC"</f>
        <v>L B SWITZER INC</v>
      </c>
      <c r="B359" t="str">
        <f t="shared" si="37"/>
        <v>Pharmacy</v>
      </c>
      <c r="C359" t="str">
        <f>"322 PEQUOT AVE"</f>
        <v>322 PEQUOT AVE</v>
      </c>
      <c r="D359" t="str">
        <f>"D/B/A SWITZER''S PHARMACY"</f>
        <v>D/B/A SWITZER''S PHARMACY</v>
      </c>
      <c r="E359" t="str">
        <f>"SOUTHPORT"</f>
        <v>SOUTHPORT</v>
      </c>
      <c r="F359" t="str">
        <f>"CT"</f>
        <v>CT</v>
      </c>
      <c r="G359" t="str">
        <f>"06890"</f>
        <v>06890</v>
      </c>
      <c r="H359" t="str">
        <f>"2039842379"</f>
        <v>2039842379</v>
      </c>
      <c r="I359" t="str">
        <f t="shared" si="40"/>
        <v>ENGLISH</v>
      </c>
    </row>
    <row r="360" spans="1:9" x14ac:dyDescent="0.3">
      <c r="A360" t="str">
        <f>"L&amp;C PRESCRIPTIONS INC. DBA LOUIS &amp; CLARK DRUG"</f>
        <v>L&amp;C PRESCRIPTIONS INC. DBA LOUIS &amp; CLARK DRUG</v>
      </c>
      <c r="B360" t="str">
        <f t="shared" si="37"/>
        <v>Pharmacy</v>
      </c>
      <c r="C360" t="str">
        <f>"155 BROOKDALE DR"</f>
        <v>155 BROOKDALE DR</v>
      </c>
      <c r="D360" t="str">
        <f>"SUITE 1"</f>
        <v>SUITE 1</v>
      </c>
      <c r="E360" t="str">
        <f>"SPRINGFIELD"</f>
        <v>SPRINGFIELD</v>
      </c>
      <c r="F360" t="str">
        <f>"MA"</f>
        <v>MA</v>
      </c>
      <c r="G360" t="str">
        <f>"01104"</f>
        <v>01104</v>
      </c>
      <c r="H360" t="str">
        <f>"4132858000"</f>
        <v>4132858000</v>
      </c>
      <c r="I360" t="str">
        <f>"ENGLISH;SPANISH"</f>
        <v>ENGLISH;SPANISH</v>
      </c>
    </row>
    <row r="361" spans="1:9" x14ac:dyDescent="0.3">
      <c r="A361" t="str">
        <f>"LAWRENCE + MEMORIAL HOSPITAL"</f>
        <v>LAWRENCE + MEMORIAL HOSPITAL</v>
      </c>
      <c r="B361" t="str">
        <f t="shared" si="37"/>
        <v>Pharmacy</v>
      </c>
      <c r="C361" t="str">
        <f>"365 MONTAUK AVENUE"</f>
        <v>365 MONTAUK AVENUE</v>
      </c>
      <c r="D361" t="str">
        <f>""</f>
        <v/>
      </c>
      <c r="E361" t="str">
        <f>"NEW LONDON"</f>
        <v>NEW LONDON</v>
      </c>
      <c r="F361" t="str">
        <f>"CT"</f>
        <v>CT</v>
      </c>
      <c r="G361" t="str">
        <f>"06320"</f>
        <v>06320</v>
      </c>
      <c r="H361" t="str">
        <f>"8604443700"</f>
        <v>8604443700</v>
      </c>
      <c r="I361" t="str">
        <f>"ENGLISH;POLISH;PORTUGUESE;RUSSIAN;SPANISH"</f>
        <v>ENGLISH;POLISH;PORTUGUESE;RUSSIAN;SPANISH</v>
      </c>
    </row>
    <row r="362" spans="1:9" x14ac:dyDescent="0.3">
      <c r="A362" t="str">
        <f>"LEMED PHARMACY III, LLC"</f>
        <v>LEMED PHARMACY III, LLC</v>
      </c>
      <c r="B362" t="str">
        <f t="shared" si="37"/>
        <v>Pharmacy</v>
      </c>
      <c r="C362" t="str">
        <f>"2417 3RD AVE SUITE 406"</f>
        <v>2417 3RD AVE SUITE 406</v>
      </c>
      <c r="D362" t="str">
        <f>""</f>
        <v/>
      </c>
      <c r="E362" t="str">
        <f>"BRONX"</f>
        <v>BRONX</v>
      </c>
      <c r="F362" t="str">
        <f>"NY"</f>
        <v>NY</v>
      </c>
      <c r="G362" t="str">
        <f>"10451"</f>
        <v>10451</v>
      </c>
      <c r="H362" t="str">
        <f>"3479134656"</f>
        <v>3479134656</v>
      </c>
      <c r="I362" t="str">
        <f>"ENGLISH;GUJARATI;SPANISH"</f>
        <v>ENGLISH;GUJARATI;SPANISH</v>
      </c>
    </row>
    <row r="363" spans="1:9" x14ac:dyDescent="0.3">
      <c r="A363" t="str">
        <f>"LI SCRIPT LLC"</f>
        <v>LI SCRIPT LLC</v>
      </c>
      <c r="B363" t="str">
        <f t="shared" si="37"/>
        <v>Pharmacy</v>
      </c>
      <c r="C363" t="str">
        <f>"333 CROSSWAYS PARK DRIVE"</f>
        <v>333 CROSSWAYS PARK DRIVE</v>
      </c>
      <c r="D363" t="str">
        <f>""</f>
        <v/>
      </c>
      <c r="E363" t="str">
        <f>"WOODBURY"</f>
        <v>WOODBURY</v>
      </c>
      <c r="F363" t="str">
        <f>"NY"</f>
        <v>NY</v>
      </c>
      <c r="G363" t="str">
        <f>"11797"</f>
        <v>11797</v>
      </c>
      <c r="H363" t="str">
        <f>"6313213850"</f>
        <v>6313213850</v>
      </c>
      <c r="I363" t="str">
        <f>"ENGLISH"</f>
        <v>ENGLISH</v>
      </c>
    </row>
    <row r="364" spans="1:9" x14ac:dyDescent="0.3">
      <c r="A364" t="str">
        <f>"LIBERTY PHARMACY INC."</f>
        <v>LIBERTY PHARMACY INC.</v>
      </c>
      <c r="B364" t="str">
        <f t="shared" si="37"/>
        <v>Pharmacy</v>
      </c>
      <c r="C364" t="str">
        <f>"886 CAMPBELL AVE"</f>
        <v>886 CAMPBELL AVE</v>
      </c>
      <c r="D364" t="str">
        <f>""</f>
        <v/>
      </c>
      <c r="E364" t="str">
        <f>"WEST HAVEN"</f>
        <v>WEST HAVEN</v>
      </c>
      <c r="F364" t="str">
        <f>"CT"</f>
        <v>CT</v>
      </c>
      <c r="G364" t="str">
        <f>"06516"</f>
        <v>06516</v>
      </c>
      <c r="H364" t="str">
        <f>"4757665454"</f>
        <v>4757665454</v>
      </c>
      <c r="I364" t="str">
        <f>"ENGLISH;HINDI"</f>
        <v>ENGLISH;HINDI</v>
      </c>
    </row>
    <row r="365" spans="1:9" x14ac:dyDescent="0.3">
      <c r="A365" t="str">
        <f>"LINCARE PHARMACY SERVICES INC."</f>
        <v>LINCARE PHARMACY SERVICES INC.</v>
      </c>
      <c r="B365" t="str">
        <f t="shared" si="37"/>
        <v>Pharmacy</v>
      </c>
      <c r="C365" t="str">
        <f>"3985 GATEWAY CENTRE BLVD"</f>
        <v>3985 GATEWAY CENTRE BLVD</v>
      </c>
      <c r="D365" t="str">
        <f>"STE 200"</f>
        <v>STE 200</v>
      </c>
      <c r="E365" t="str">
        <f>"PINELLAS PARK"</f>
        <v>PINELLAS PARK</v>
      </c>
      <c r="F365" t="str">
        <f>"FL"</f>
        <v>FL</v>
      </c>
      <c r="G365" t="str">
        <f>"33782"</f>
        <v>33782</v>
      </c>
      <c r="H365" t="str">
        <f>"8007846082"</f>
        <v>8007846082</v>
      </c>
      <c r="I365" t="str">
        <f>"ENGLISH;INTERLINGUA (INTERNATIONAL AUXILIARY LANGUAGE ASSOCIATION);OTHER;POLISH;PORTUGUESE;RUSSIAN;"</f>
        <v>ENGLISH;INTERLINGUA (INTERNATIONAL AUXILIARY LANGUAGE ASSOCIATION);OTHER;POLISH;PORTUGUESE;RUSSIAN;</v>
      </c>
    </row>
    <row r="366" spans="1:9" x14ac:dyDescent="0.3">
      <c r="A366" t="str">
        <f>"LOFT CHEMISTS LLC"</f>
        <v>LOFT CHEMISTS LLC</v>
      </c>
      <c r="B366" t="str">
        <f t="shared" si="37"/>
        <v>Pharmacy</v>
      </c>
      <c r="C366" t="str">
        <f>"1184 MAIN STREET"</f>
        <v>1184 MAIN STREET</v>
      </c>
      <c r="D366" t="str">
        <f>""</f>
        <v/>
      </c>
      <c r="E366" t="str">
        <f>"BRIDGEPORT"</f>
        <v>BRIDGEPORT</v>
      </c>
      <c r="F366" t="str">
        <f t="shared" ref="F366:F372" si="41">"CT"</f>
        <v>CT</v>
      </c>
      <c r="G366" t="str">
        <f>"06604"</f>
        <v>06604</v>
      </c>
      <c r="H366" t="str">
        <f>"2035499944"</f>
        <v>2035499944</v>
      </c>
      <c r="I366" t="str">
        <f>"ENGLISH;POLISH;RUSSIAN;SPANISH"</f>
        <v>ENGLISH;POLISH;RUSSIAN;SPANISH</v>
      </c>
    </row>
    <row r="367" spans="1:9" x14ac:dyDescent="0.3">
      <c r="A367" t="str">
        <f>"MAGELLAN"</f>
        <v>MAGELLAN</v>
      </c>
      <c r="B367" t="str">
        <f t="shared" si="37"/>
        <v>Pharmacy</v>
      </c>
      <c r="C367" t="str">
        <f>"195 SCOTT SWAMP RD"</f>
        <v>195 SCOTT SWAMP RD</v>
      </c>
      <c r="D367" t="str">
        <f>""</f>
        <v/>
      </c>
      <c r="E367" t="str">
        <f>"FARMINGTON"</f>
        <v>FARMINGTON</v>
      </c>
      <c r="F367" t="str">
        <f t="shared" si="41"/>
        <v>CT</v>
      </c>
      <c r="G367" t="str">
        <f>"     "</f>
        <v xml:space="preserve">     </v>
      </c>
      <c r="H367" t="str">
        <f>"8602553900"</f>
        <v>8602553900</v>
      </c>
      <c r="I367" t="str">
        <f>"ENGLISH;POLISH;RUSSIAN;SPANISH"</f>
        <v>ENGLISH;POLISH;RUSSIAN;SPANISH</v>
      </c>
    </row>
    <row r="368" spans="1:9" x14ac:dyDescent="0.3">
      <c r="A368" t="str">
        <f>"MAIN STREET CHEMIST INC"</f>
        <v>MAIN STREET CHEMIST INC</v>
      </c>
      <c r="B368" t="str">
        <f t="shared" si="37"/>
        <v>Pharmacy</v>
      </c>
      <c r="C368" t="str">
        <f>"2152 EAST MAIN ST."</f>
        <v>2152 EAST MAIN ST.</v>
      </c>
      <c r="D368" t="str">
        <f>"EAST MAIN PHARMACY"</f>
        <v>EAST MAIN PHARMACY</v>
      </c>
      <c r="E368" t="str">
        <f>"WATERBURY"</f>
        <v>WATERBURY</v>
      </c>
      <c r="F368" t="str">
        <f t="shared" si="41"/>
        <v>CT</v>
      </c>
      <c r="G368" t="str">
        <f>"06705"</f>
        <v>06705</v>
      </c>
      <c r="H368" t="str">
        <f>"2037557200"</f>
        <v>2037557200</v>
      </c>
      <c r="I368" t="str">
        <f>"ENGLISH;SPANISH"</f>
        <v>ENGLISH;SPANISH</v>
      </c>
    </row>
    <row r="369" spans="1:9" x14ac:dyDescent="0.3">
      <c r="A369" t="str">
        <f>"MAIN STREET PHARMACY #2 LLC"</f>
        <v>MAIN STREET PHARMACY #2 LLC</v>
      </c>
      <c r="B369" t="str">
        <f t="shared" si="37"/>
        <v>Pharmacy</v>
      </c>
      <c r="C369" t="str">
        <f>"345 MAIN STREET"</f>
        <v>345 MAIN STREET</v>
      </c>
      <c r="D369" t="str">
        <f>"STE #7"</f>
        <v>STE #7</v>
      </c>
      <c r="E369" t="str">
        <f>"DANBURY"</f>
        <v>DANBURY</v>
      </c>
      <c r="F369" t="str">
        <f t="shared" si="41"/>
        <v>CT</v>
      </c>
      <c r="G369" t="str">
        <f>"06810"</f>
        <v>06810</v>
      </c>
      <c r="H369" t="str">
        <f>"2032976130"</f>
        <v>2032976130</v>
      </c>
      <c r="I369" t="str">
        <f>"ENGLISH;PORTUGUESE;SPANISH"</f>
        <v>ENGLISH;PORTUGUESE;SPANISH</v>
      </c>
    </row>
    <row r="370" spans="1:9" x14ac:dyDescent="0.3">
      <c r="A370" t="str">
        <f>"MAIN STREET PHARMACY 2"</f>
        <v>MAIN STREET PHARMACY 2</v>
      </c>
      <c r="B370" t="str">
        <f t="shared" si="37"/>
        <v>Pharmacy</v>
      </c>
      <c r="C370" t="str">
        <f>"345 MAIN STREET STE #7"</f>
        <v>345 MAIN STREET STE #7</v>
      </c>
      <c r="D370" t="str">
        <f>""</f>
        <v/>
      </c>
      <c r="E370" t="str">
        <f>"DANBURY"</f>
        <v>DANBURY</v>
      </c>
      <c r="F370" t="str">
        <f t="shared" si="41"/>
        <v>CT</v>
      </c>
      <c r="G370" t="str">
        <f>"06810"</f>
        <v>06810</v>
      </c>
      <c r="H370" t="str">
        <f>"2032976130"</f>
        <v>2032976130</v>
      </c>
      <c r="I370" t="str">
        <f>"CHINESE;ENGLISH;KOREAN;PORTUGUESE;SPANISH"</f>
        <v>CHINESE;ENGLISH;KOREAN;PORTUGUESE;SPANISH</v>
      </c>
    </row>
    <row r="371" spans="1:9" x14ac:dyDescent="0.3">
      <c r="A371" t="str">
        <f>"MAIN STREET PHARMACY 3 LLC"</f>
        <v>MAIN STREET PHARMACY 3 LLC</v>
      </c>
      <c r="B371" t="str">
        <f t="shared" si="37"/>
        <v>Pharmacy</v>
      </c>
      <c r="C371" t="str">
        <f>"2117 BOSTON AVENUE"</f>
        <v>2117 BOSTON AVENUE</v>
      </c>
      <c r="D371" t="str">
        <f>""</f>
        <v/>
      </c>
      <c r="E371" t="str">
        <f>"BRIDGEPORT"</f>
        <v>BRIDGEPORT</v>
      </c>
      <c r="F371" t="str">
        <f t="shared" si="41"/>
        <v>CT</v>
      </c>
      <c r="G371" t="str">
        <f>"06610"</f>
        <v>06610</v>
      </c>
      <c r="H371" t="str">
        <f>"2032123800"</f>
        <v>2032123800</v>
      </c>
      <c r="I371" t="str">
        <f>"ENGLISH;POLISH;PORTUGUESE;RUSSIAN;SPANISH;YORUBA"</f>
        <v>ENGLISH;POLISH;PORTUGUESE;RUSSIAN;SPANISH;YORUBA</v>
      </c>
    </row>
    <row r="372" spans="1:9" x14ac:dyDescent="0.3">
      <c r="A372" t="str">
        <f>"MANCHESTER RX LLC"</f>
        <v>MANCHESTER RX LLC</v>
      </c>
      <c r="B372" t="str">
        <f t="shared" si="37"/>
        <v>Pharmacy</v>
      </c>
      <c r="C372" t="str">
        <f>"348 MAIN STREET"</f>
        <v>348 MAIN STREET</v>
      </c>
      <c r="D372" t="str">
        <f>""</f>
        <v/>
      </c>
      <c r="E372" t="str">
        <f>"MANCHESTER"</f>
        <v>MANCHESTER</v>
      </c>
      <c r="F372" t="str">
        <f t="shared" si="41"/>
        <v>CT</v>
      </c>
      <c r="G372" t="str">
        <f>"06040"</f>
        <v>06040</v>
      </c>
      <c r="H372" t="str">
        <f>"8606491025"</f>
        <v>8606491025</v>
      </c>
      <c r="I372" t="str">
        <f>"ENGLISH;TELUGU"</f>
        <v>ENGLISH;TELUGU</v>
      </c>
    </row>
    <row r="373" spans="1:9" x14ac:dyDescent="0.3">
      <c r="A373" t="str">
        <f>"MCQUADE'S MARKETPLACE PHARMACY"</f>
        <v>MCQUADE'S MARKETPLACE PHARMACY</v>
      </c>
      <c r="B373" t="str">
        <f t="shared" si="37"/>
        <v>Pharmacy</v>
      </c>
      <c r="C373" t="str">
        <f>"106 MAIN STREET"</f>
        <v>106 MAIN STREET</v>
      </c>
      <c r="D373" t="str">
        <f>""</f>
        <v/>
      </c>
      <c r="E373" t="str">
        <f>"WESTERLY"</f>
        <v>WESTERLY</v>
      </c>
      <c r="F373" t="str">
        <f>"RI"</f>
        <v>RI</v>
      </c>
      <c r="G373" t="str">
        <f>"02891"</f>
        <v>02891</v>
      </c>
      <c r="H373" t="str">
        <f>"4015968843"</f>
        <v>4015968843</v>
      </c>
      <c r="I373" t="str">
        <f>"ARABIC;ENGLISH"</f>
        <v>ARABIC;ENGLISH</v>
      </c>
    </row>
    <row r="374" spans="1:9" x14ac:dyDescent="0.3">
      <c r="A374" t="str">
        <f>"MCQUADES PHARMACY INC"</f>
        <v>MCQUADES PHARMACY INC</v>
      </c>
      <c r="B374" t="str">
        <f t="shared" si="37"/>
        <v>Pharmacy</v>
      </c>
      <c r="C374" t="str">
        <f>"10 CLARA DRIVE"</f>
        <v>10 CLARA DRIVE</v>
      </c>
      <c r="D374" t="str">
        <f>""</f>
        <v/>
      </c>
      <c r="E374" t="str">
        <f>"MYSTIC"</f>
        <v>MYSTIC</v>
      </c>
      <c r="F374" t="str">
        <f t="shared" ref="F374:F391" si="42">"CT"</f>
        <v>CT</v>
      </c>
      <c r="G374" t="str">
        <f>"06355"</f>
        <v>06355</v>
      </c>
      <c r="H374" t="str">
        <f>"4015968843"</f>
        <v>4015968843</v>
      </c>
      <c r="I374" t="str">
        <f>"ENGLISH"</f>
        <v>ENGLISH</v>
      </c>
    </row>
    <row r="375" spans="1:9" x14ac:dyDescent="0.3">
      <c r="A375" t="str">
        <f>"MED PHARM LTC"</f>
        <v>MED PHARM LTC</v>
      </c>
      <c r="B375" t="str">
        <f t="shared" si="37"/>
        <v>Pharmacy</v>
      </c>
      <c r="C375" t="str">
        <f>"1197 MAIN STREET"</f>
        <v>1197 MAIN STREET</v>
      </c>
      <c r="D375" t="str">
        <f>""</f>
        <v/>
      </c>
      <c r="E375" t="str">
        <f>"WILLIMANTIC"</f>
        <v>WILLIMANTIC</v>
      </c>
      <c r="F375" t="str">
        <f t="shared" si="42"/>
        <v>CT</v>
      </c>
      <c r="G375" t="str">
        <f>"06226"</f>
        <v>06226</v>
      </c>
      <c r="H375" t="str">
        <f>"8607866431"</f>
        <v>8607866431</v>
      </c>
      <c r="I375" t="str">
        <f>"ENGLISH"</f>
        <v>ENGLISH</v>
      </c>
    </row>
    <row r="376" spans="1:9" x14ac:dyDescent="0.3">
      <c r="A376" t="str">
        <f>"MEDICAL ARTS PHARMACY"</f>
        <v>MEDICAL ARTS PHARMACY</v>
      </c>
      <c r="B376" t="str">
        <f t="shared" si="37"/>
        <v>Pharmacy</v>
      </c>
      <c r="C376" t="str">
        <f>"461 MONROE TURNPIKE"</f>
        <v>461 MONROE TURNPIKE</v>
      </c>
      <c r="D376" t="str">
        <f>""</f>
        <v/>
      </c>
      <c r="E376" t="str">
        <f>"MONROE"</f>
        <v>MONROE</v>
      </c>
      <c r="F376" t="str">
        <f t="shared" si="42"/>
        <v>CT</v>
      </c>
      <c r="G376" t="str">
        <f>"06468"</f>
        <v>06468</v>
      </c>
      <c r="H376" t="str">
        <f>"2035903737"</f>
        <v>2035903737</v>
      </c>
      <c r="I376" t="str">
        <f>"ENGLISH;HINDI;SPANISH"</f>
        <v>ENGLISH;HINDI;SPANISH</v>
      </c>
    </row>
    <row r="377" spans="1:9" x14ac:dyDescent="0.3">
      <c r="A377" t="str">
        <f>"MEDICAL CENTER PHARMACY AND HOME CARE CENTER INC."</f>
        <v>MEDICAL CENTER PHARMACY AND HOME CARE CENTER INC.</v>
      </c>
      <c r="B377" t="str">
        <f t="shared" si="37"/>
        <v>Pharmacy</v>
      </c>
      <c r="C377" t="str">
        <f>"267 GRANT STREET"</f>
        <v>267 GRANT STREET</v>
      </c>
      <c r="D377" t="str">
        <f>""</f>
        <v/>
      </c>
      <c r="E377" t="str">
        <f>"BRIDGEPORT"</f>
        <v>BRIDGEPORT</v>
      </c>
      <c r="F377" t="str">
        <f t="shared" si="42"/>
        <v>CT</v>
      </c>
      <c r="G377" t="str">
        <f>"06610"</f>
        <v>06610</v>
      </c>
      <c r="H377" t="str">
        <f>"2033844750"</f>
        <v>2033844750</v>
      </c>
      <c r="I377" t="str">
        <f>"ENGLISH;POLISH;PORTUGUESE;RUSSIAN;SPANISH"</f>
        <v>ENGLISH;POLISH;PORTUGUESE;RUSSIAN;SPANISH</v>
      </c>
    </row>
    <row r="378" spans="1:9" x14ac:dyDescent="0.3">
      <c r="A378" t="str">
        <f>"MEDICAL CENTER PHARMACY AND HOME CARE CENTER, INC"</f>
        <v>MEDICAL CENTER PHARMACY AND HOME CARE CENTER, INC</v>
      </c>
      <c r="B378" t="str">
        <f t="shared" si="37"/>
        <v>Pharmacy</v>
      </c>
      <c r="C378" t="str">
        <f>"6 DEVINE STREET"</f>
        <v>6 DEVINE STREET</v>
      </c>
      <c r="D378" t="str">
        <f>""</f>
        <v/>
      </c>
      <c r="E378" t="str">
        <f>"NORTH HAVEN"</f>
        <v>NORTH HAVEN</v>
      </c>
      <c r="F378" t="str">
        <f t="shared" si="42"/>
        <v>CT</v>
      </c>
      <c r="G378" t="str">
        <f>"06473"</f>
        <v>06473</v>
      </c>
      <c r="H378" t="str">
        <f>"2032303940"</f>
        <v>2032303940</v>
      </c>
      <c r="I378" t="str">
        <f>"ENGLISH;POLISH;PORTUGUESE;RUSSIAN;SPANISH"</f>
        <v>ENGLISH;POLISH;PORTUGUESE;RUSSIAN;SPANISH</v>
      </c>
    </row>
    <row r="379" spans="1:9" x14ac:dyDescent="0.3">
      <c r="A379" t="str">
        <f>"MEDICAL CENTER PHARMACY AND HOME CARE CENTER, INC"</f>
        <v>MEDICAL CENTER PHARMACY AND HOME CARE CENTER, INC</v>
      </c>
      <c r="B379" t="str">
        <f t="shared" si="37"/>
        <v>Pharmacy</v>
      </c>
      <c r="C379" t="str">
        <f>"1450 CHAPEL STREET"</f>
        <v>1450 CHAPEL STREET</v>
      </c>
      <c r="D379" t="str">
        <f>""</f>
        <v/>
      </c>
      <c r="E379" t="str">
        <f>"NEW HAVEN"</f>
        <v>NEW HAVEN</v>
      </c>
      <c r="F379" t="str">
        <f t="shared" si="42"/>
        <v>CT</v>
      </c>
      <c r="G379" t="str">
        <f>"06511"</f>
        <v>06511</v>
      </c>
      <c r="H379" t="str">
        <f>"2037894076"</f>
        <v>2037894076</v>
      </c>
      <c r="I379" t="str">
        <f>"ENGLISH;POLISH;PORTUGUESE;RUSSIAN;SPANISH"</f>
        <v>ENGLISH;POLISH;PORTUGUESE;RUSSIAN;SPANISH</v>
      </c>
    </row>
    <row r="380" spans="1:9" x14ac:dyDescent="0.3">
      <c r="A380" t="str">
        <f>"MEDICAL CENTER PHARMACY AND HOME CARE CENTER, INC"</f>
        <v>MEDICAL CENTER PHARMACY AND HOME CARE CENTER, INC</v>
      </c>
      <c r="B380" t="str">
        <f t="shared" si="37"/>
        <v>Pharmacy</v>
      </c>
      <c r="C380" t="str">
        <f>"600 DERBY AVE"</f>
        <v>600 DERBY AVE</v>
      </c>
      <c r="D380" t="str">
        <f>""</f>
        <v/>
      </c>
      <c r="E380" t="str">
        <f>"WEST HAVEN"</f>
        <v>WEST HAVEN</v>
      </c>
      <c r="F380" t="str">
        <f t="shared" si="42"/>
        <v>CT</v>
      </c>
      <c r="G380" t="str">
        <f>"06516"</f>
        <v>06516</v>
      </c>
      <c r="H380" t="str">
        <f>"2034793058"</f>
        <v>2034793058</v>
      </c>
      <c r="I380" t="str">
        <f>"ENGLISH"</f>
        <v>ENGLISH</v>
      </c>
    </row>
    <row r="381" spans="1:9" x14ac:dyDescent="0.3">
      <c r="A381" t="str">
        <f>"MEDICAL CENTER PHARMACY AND HOME CARE CENTER, INC"</f>
        <v>MEDICAL CENTER PHARMACY AND HOME CARE CENTER, INC</v>
      </c>
      <c r="B381" t="str">
        <f t="shared" si="37"/>
        <v>Pharmacy</v>
      </c>
      <c r="C381" t="str">
        <f>"1100 SHERMAN AVENUE"</f>
        <v>1100 SHERMAN AVENUE</v>
      </c>
      <c r="D381" t="str">
        <f>""</f>
        <v/>
      </c>
      <c r="E381" t="str">
        <f>"HAMDEN"</f>
        <v>HAMDEN</v>
      </c>
      <c r="F381" t="str">
        <f t="shared" si="42"/>
        <v>CT</v>
      </c>
      <c r="G381" t="str">
        <f>"06514"</f>
        <v>06514</v>
      </c>
      <c r="H381" t="str">
        <f>"2037473933"</f>
        <v>2037473933</v>
      </c>
      <c r="I381" t="str">
        <f>"ENGLISH;SPANISH"</f>
        <v>ENGLISH;SPANISH</v>
      </c>
    </row>
    <row r="382" spans="1:9" x14ac:dyDescent="0.3">
      <c r="A382" t="str">
        <f>"MEDICAL HOTSPOTS INC, DBA BAILEY'S PHARMACY"</f>
        <v>MEDICAL HOTSPOTS INC, DBA BAILEY'S PHARMACY</v>
      </c>
      <c r="B382" t="str">
        <f t="shared" si="37"/>
        <v>Pharmacy</v>
      </c>
      <c r="C382" t="str">
        <f>"1137 MAIN STREET"</f>
        <v>1137 MAIN STREET</v>
      </c>
      <c r="D382" t="str">
        <f>""</f>
        <v/>
      </c>
      <c r="E382" t="str">
        <f>"EAST HARTFORD"</f>
        <v>EAST HARTFORD</v>
      </c>
      <c r="F382" t="str">
        <f t="shared" si="42"/>
        <v>CT</v>
      </c>
      <c r="G382" t="str">
        <f>"06108"</f>
        <v>06108</v>
      </c>
      <c r="H382" t="str">
        <f>"8602169077"</f>
        <v>8602169077</v>
      </c>
      <c r="I382" t="str">
        <f>"ENGLISH;FRENCH"</f>
        <v>ENGLISH;FRENCH</v>
      </c>
    </row>
    <row r="383" spans="1:9" x14ac:dyDescent="0.3">
      <c r="A383" t="str">
        <f>"MEDICINE SHOPPE"</f>
        <v>MEDICINE SHOPPE</v>
      </c>
      <c r="B383" t="str">
        <f t="shared" si="37"/>
        <v>Pharmacy</v>
      </c>
      <c r="C383" t="str">
        <f>"774 FARMINGTON AVENUE"</f>
        <v>774 FARMINGTON AVENUE</v>
      </c>
      <c r="D383" t="str">
        <f>""</f>
        <v/>
      </c>
      <c r="E383" t="str">
        <f>"WEST HARTFORD"</f>
        <v>WEST HARTFORD</v>
      </c>
      <c r="F383" t="str">
        <f t="shared" si="42"/>
        <v>CT</v>
      </c>
      <c r="G383" t="str">
        <f>"06119"</f>
        <v>06119</v>
      </c>
      <c r="H383" t="str">
        <f>"8602324595"</f>
        <v>8602324595</v>
      </c>
      <c r="I383" t="str">
        <f>"ARABIC;ENGLISH;PORTUGUESE;SPANISH"</f>
        <v>ARABIC;ENGLISH;PORTUGUESE;SPANISH</v>
      </c>
    </row>
    <row r="384" spans="1:9" x14ac:dyDescent="0.3">
      <c r="A384" t="str">
        <f>"METRO PHARMACY LLC"</f>
        <v>METRO PHARMACY LLC</v>
      </c>
      <c r="B384" t="str">
        <f t="shared" si="37"/>
        <v>Pharmacy</v>
      </c>
      <c r="C384" t="str">
        <f>"1291 CHAPEL STREET"</f>
        <v>1291 CHAPEL STREET</v>
      </c>
      <c r="D384" t="str">
        <f>""</f>
        <v/>
      </c>
      <c r="E384" t="str">
        <f>"NEW HAVEN"</f>
        <v>NEW HAVEN</v>
      </c>
      <c r="F384" t="str">
        <f t="shared" si="42"/>
        <v>CT</v>
      </c>
      <c r="G384" t="str">
        <f>"06511"</f>
        <v>06511</v>
      </c>
      <c r="H384" t="str">
        <f>"4752386473"</f>
        <v>4752386473</v>
      </c>
      <c r="I384" t="str">
        <f>"ENGLISH"</f>
        <v>ENGLISH</v>
      </c>
    </row>
    <row r="385" spans="1:9" x14ac:dyDescent="0.3">
      <c r="A385" t="str">
        <f>"MIDDLESEX HOSPITAL"</f>
        <v>MIDDLESEX HOSPITAL</v>
      </c>
      <c r="B385" t="str">
        <f t="shared" si="37"/>
        <v>Pharmacy</v>
      </c>
      <c r="C385" t="str">
        <f>"536 SAYBROOK ROAD"</f>
        <v>536 SAYBROOK ROAD</v>
      </c>
      <c r="D385" t="str">
        <f>"LOWER LEVEL"</f>
        <v>LOWER LEVEL</v>
      </c>
      <c r="E385" t="str">
        <f>"MIDDLETOWN"</f>
        <v>MIDDLETOWN</v>
      </c>
      <c r="F385" t="str">
        <f t="shared" si="42"/>
        <v>CT</v>
      </c>
      <c r="G385" t="str">
        <f>"06457"</f>
        <v>06457</v>
      </c>
      <c r="H385" t="str">
        <f>"8603582040"</f>
        <v>8603582040</v>
      </c>
      <c r="I385" t="str">
        <f>"ENGLISH"</f>
        <v>ENGLISH</v>
      </c>
    </row>
    <row r="386" spans="1:9" x14ac:dyDescent="0.3">
      <c r="A386" t="str">
        <f>"MIDDLETOWN PHARMACY INC"</f>
        <v>MIDDLETOWN PHARMACY INC</v>
      </c>
      <c r="B386" t="str">
        <f t="shared" ref="B386:B449" si="43">"Pharmacy"</f>
        <v>Pharmacy</v>
      </c>
      <c r="C386" t="str">
        <f>"682 MAIN STREET"</f>
        <v>682 MAIN STREET</v>
      </c>
      <c r="D386" t="str">
        <f>""</f>
        <v/>
      </c>
      <c r="E386" t="str">
        <f>"MIDDLETOWN"</f>
        <v>MIDDLETOWN</v>
      </c>
      <c r="F386" t="str">
        <f t="shared" si="42"/>
        <v>CT</v>
      </c>
      <c r="G386" t="str">
        <f>"06457"</f>
        <v>06457</v>
      </c>
      <c r="H386" t="str">
        <f>"8608947683"</f>
        <v>8608947683</v>
      </c>
      <c r="I386" t="str">
        <f>"ENGLISH"</f>
        <v>ENGLISH</v>
      </c>
    </row>
    <row r="387" spans="1:9" x14ac:dyDescent="0.3">
      <c r="A387" t="str">
        <f>"MILFORD MARKETS LLC"</f>
        <v>MILFORD MARKETS LLC</v>
      </c>
      <c r="B387" t="str">
        <f t="shared" si="43"/>
        <v>Pharmacy</v>
      </c>
      <c r="C387" t="str">
        <f>"935 BOSTON POST RD"</f>
        <v>935 BOSTON POST RD</v>
      </c>
      <c r="D387" t="str">
        <f>""</f>
        <v/>
      </c>
      <c r="E387" t="str">
        <f>"MILFORD"</f>
        <v>MILFORD</v>
      </c>
      <c r="F387" t="str">
        <f t="shared" si="42"/>
        <v>CT</v>
      </c>
      <c r="G387" t="str">
        <f>"06460"</f>
        <v>06460</v>
      </c>
      <c r="H387" t="str">
        <f>"2037830587"</f>
        <v>2037830587</v>
      </c>
      <c r="I387" t="str">
        <f>"ENGLISH"</f>
        <v>ENGLISH</v>
      </c>
    </row>
    <row r="388" spans="1:9" x14ac:dyDescent="0.3">
      <c r="A388" t="str">
        <f>"MILFORD PHARMACY AND HOME CARE INC"</f>
        <v>MILFORD PHARMACY AND HOME CARE INC</v>
      </c>
      <c r="B388" t="str">
        <f t="shared" si="43"/>
        <v>Pharmacy</v>
      </c>
      <c r="C388" t="str">
        <f>"78 BROAD STREET"</f>
        <v>78 BROAD STREET</v>
      </c>
      <c r="D388" t="str">
        <f>""</f>
        <v/>
      </c>
      <c r="E388" t="str">
        <f>"MILFORD"</f>
        <v>MILFORD</v>
      </c>
      <c r="F388" t="str">
        <f t="shared" si="42"/>
        <v>CT</v>
      </c>
      <c r="G388" t="str">
        <f>"06460"</f>
        <v>06460</v>
      </c>
      <c r="H388" t="str">
        <f>"2037138101"</f>
        <v>2037138101</v>
      </c>
      <c r="I388" t="str">
        <f>"ARABIC;ENGLISH"</f>
        <v>ARABIC;ENGLISH</v>
      </c>
    </row>
    <row r="389" spans="1:9" x14ac:dyDescent="0.3">
      <c r="A389" t="str">
        <f>"MY FAIR HAVEN PHARMACY LLC"</f>
        <v>MY FAIR HAVEN PHARMACY LLC</v>
      </c>
      <c r="B389" t="str">
        <f t="shared" si="43"/>
        <v>Pharmacy</v>
      </c>
      <c r="C389" t="str">
        <f>"72 GRAND AVE"</f>
        <v>72 GRAND AVE</v>
      </c>
      <c r="D389" t="str">
        <f>""</f>
        <v/>
      </c>
      <c r="E389" t="str">
        <f>"NEW HAVEN"</f>
        <v>NEW HAVEN</v>
      </c>
      <c r="F389" t="str">
        <f t="shared" si="42"/>
        <v>CT</v>
      </c>
      <c r="G389" t="str">
        <f>"06513"</f>
        <v>06513</v>
      </c>
      <c r="H389" t="str">
        <f>"2034983479"</f>
        <v>2034983479</v>
      </c>
      <c r="I389" t="str">
        <f>"ENGLISH;SPANISH"</f>
        <v>ENGLISH;SPANISH</v>
      </c>
    </row>
    <row r="390" spans="1:9" x14ac:dyDescent="0.3">
      <c r="A390" t="str">
        <f>"MYLYFE LLC"</f>
        <v>MYLYFE LLC</v>
      </c>
      <c r="B390" t="str">
        <f t="shared" si="43"/>
        <v>Pharmacy</v>
      </c>
      <c r="C390" t="str">
        <f>"31 MOODY RD"</f>
        <v>31 MOODY RD</v>
      </c>
      <c r="D390" t="str">
        <f>""</f>
        <v/>
      </c>
      <c r="E390" t="str">
        <f>"ENFIELD"</f>
        <v>ENFIELD</v>
      </c>
      <c r="F390" t="str">
        <f t="shared" si="42"/>
        <v>CT</v>
      </c>
      <c r="G390" t="str">
        <f>"06082"</f>
        <v>06082</v>
      </c>
      <c r="H390" t="str">
        <f>"8444695933"</f>
        <v>8444695933</v>
      </c>
      <c r="I390" t="str">
        <f>"ENGLISH"</f>
        <v>ENGLISH</v>
      </c>
    </row>
    <row r="391" spans="1:9" x14ac:dyDescent="0.3">
      <c r="A391" t="str">
        <f>"NAUGATUCK PHARMACY"</f>
        <v>NAUGATUCK PHARMACY</v>
      </c>
      <c r="B391" t="str">
        <f t="shared" si="43"/>
        <v>Pharmacy</v>
      </c>
      <c r="C391" t="str">
        <f>"153 MAPLE STREET"</f>
        <v>153 MAPLE STREET</v>
      </c>
      <c r="D391" t="str">
        <f>""</f>
        <v/>
      </c>
      <c r="E391" t="str">
        <f>"NAUGATUCK"</f>
        <v>NAUGATUCK</v>
      </c>
      <c r="F391" t="str">
        <f t="shared" si="42"/>
        <v>CT</v>
      </c>
      <c r="G391" t="str">
        <f>"06770"</f>
        <v>06770</v>
      </c>
      <c r="H391" t="str">
        <f>"2036328380"</f>
        <v>2036328380</v>
      </c>
      <c r="I391" t="str">
        <f>"ENGLISH"</f>
        <v>ENGLISH</v>
      </c>
    </row>
    <row r="392" spans="1:9" x14ac:dyDescent="0.3">
      <c r="A392" t="str">
        <f>"NEIGHBORCARE OF NEW HAMPSHIRE LLC"</f>
        <v>NEIGHBORCARE OF NEW HAMPSHIRE LLC</v>
      </c>
      <c r="B392" t="str">
        <f t="shared" si="43"/>
        <v>Pharmacy</v>
      </c>
      <c r="C392" t="str">
        <f>"13 COMMERCE AVE"</f>
        <v>13 COMMERCE AVE</v>
      </c>
      <c r="D392" t="str">
        <f>""</f>
        <v/>
      </c>
      <c r="E392" t="str">
        <f>"LONDONDERRY"</f>
        <v>LONDONDERRY</v>
      </c>
      <c r="F392" t="str">
        <f>"NH"</f>
        <v>NH</v>
      </c>
      <c r="G392" t="str">
        <f>"03053"</f>
        <v>03053</v>
      </c>
      <c r="H392" t="str">
        <f>"6036256406"</f>
        <v>6036256406</v>
      </c>
      <c r="I392" t="str">
        <f>"ENGLISH;SPANISH"</f>
        <v>ENGLISH;SPANISH</v>
      </c>
    </row>
    <row r="393" spans="1:9" x14ac:dyDescent="0.3">
      <c r="A393" t="str">
        <f>"NEW HAVEN PHARMACY INC"</f>
        <v>NEW HAVEN PHARMACY INC</v>
      </c>
      <c r="B393" t="str">
        <f t="shared" si="43"/>
        <v>Pharmacy</v>
      </c>
      <c r="C393" t="str">
        <f>"390 GRAND AVE"</f>
        <v>390 GRAND AVE</v>
      </c>
      <c r="D393" t="str">
        <f>""</f>
        <v/>
      </c>
      <c r="E393" t="str">
        <f>"NEW HAVEN"</f>
        <v>NEW HAVEN</v>
      </c>
      <c r="F393" t="str">
        <f>"CT"</f>
        <v>CT</v>
      </c>
      <c r="G393" t="str">
        <f>"06513"</f>
        <v>06513</v>
      </c>
      <c r="H393" t="str">
        <f>"2037773700"</f>
        <v>2037773700</v>
      </c>
      <c r="I393" t="str">
        <f>"ENGLISH;SPANISH"</f>
        <v>ENGLISH;SPANISH</v>
      </c>
    </row>
    <row r="394" spans="1:9" x14ac:dyDescent="0.3">
      <c r="A394" t="str">
        <f>"NEWTOWN HEALTH PHARMACY INC"</f>
        <v>NEWTOWN HEALTH PHARMACY INC</v>
      </c>
      <c r="B394" t="str">
        <f t="shared" si="43"/>
        <v>Pharmacy</v>
      </c>
      <c r="C394" t="str">
        <f>"255 S MAIN ST"</f>
        <v>255 S MAIN ST</v>
      </c>
      <c r="D394" t="str">
        <f>"UNIT 4"</f>
        <v>UNIT 4</v>
      </c>
      <c r="E394" t="str">
        <f>"NEWTOWN"</f>
        <v>NEWTOWN</v>
      </c>
      <c r="F394" t="str">
        <f>"CT"</f>
        <v>CT</v>
      </c>
      <c r="G394" t="str">
        <f>"06470"</f>
        <v>06470</v>
      </c>
      <c r="H394" t="str">
        <f>"2033041433"</f>
        <v>2033041433</v>
      </c>
      <c r="I394" t="str">
        <f>"ENGLISH;SPANISH"</f>
        <v>ENGLISH;SPANISH</v>
      </c>
    </row>
    <row r="395" spans="1:9" x14ac:dyDescent="0.3">
      <c r="A395" t="str">
        <f>"NORTH HAVEN PHARMACY, INC"</f>
        <v>NORTH HAVEN PHARMACY, INC</v>
      </c>
      <c r="B395" t="str">
        <f t="shared" si="43"/>
        <v>Pharmacy</v>
      </c>
      <c r="C395" t="str">
        <f>"278 MAPLE AVENUE"</f>
        <v>278 MAPLE AVENUE</v>
      </c>
      <c r="D395" t="str">
        <f>""</f>
        <v/>
      </c>
      <c r="E395" t="str">
        <f>"NORTH HAVEN"</f>
        <v>NORTH HAVEN</v>
      </c>
      <c r="F395" t="str">
        <f>"CT"</f>
        <v>CT</v>
      </c>
      <c r="G395" t="str">
        <f>"06473"</f>
        <v>06473</v>
      </c>
      <c r="H395" t="str">
        <f>"2032392086"</f>
        <v>2032392086</v>
      </c>
      <c r="I395" t="str">
        <f>"ENGLISH"</f>
        <v>ENGLISH</v>
      </c>
    </row>
    <row r="396" spans="1:9" x14ac:dyDescent="0.3">
      <c r="A396" t="str">
        <f>"NORTH SHORE PHARMACY SERVICES LLC"</f>
        <v>NORTH SHORE PHARMACY SERVICES LLC</v>
      </c>
      <c r="B396" t="str">
        <f t="shared" si="43"/>
        <v>Pharmacy</v>
      </c>
      <c r="C396" t="str">
        <f>"2 TECHNOLOGY DR"</f>
        <v>2 TECHNOLOGY DR</v>
      </c>
      <c r="D396" t="str">
        <f>""</f>
        <v/>
      </c>
      <c r="E396" t="str">
        <f>"PEABODY"</f>
        <v>PEABODY</v>
      </c>
      <c r="F396" t="str">
        <f>"MA"</f>
        <v>MA</v>
      </c>
      <c r="G396" t="str">
        <f>"01960"</f>
        <v>01960</v>
      </c>
      <c r="H396" t="str">
        <f>"7812133900"</f>
        <v>7812133900</v>
      </c>
      <c r="I396" t="str">
        <f>"ENGLISH"</f>
        <v>ENGLISH</v>
      </c>
    </row>
    <row r="397" spans="1:9" x14ac:dyDescent="0.3">
      <c r="A397" t="str">
        <f>"NORTH STREET PHARMACY"</f>
        <v>NORTH STREET PHARMACY</v>
      </c>
      <c r="B397" t="str">
        <f t="shared" si="43"/>
        <v>Pharmacy</v>
      </c>
      <c r="C397" t="str">
        <f>"1043 NORTH STREET"</f>
        <v>1043 NORTH STREET</v>
      </c>
      <c r="D397" t="str">
        <f>""</f>
        <v/>
      </c>
      <c r="E397" t="str">
        <f>"GREENWICH"</f>
        <v>GREENWICH</v>
      </c>
      <c r="F397" t="str">
        <f>"CT"</f>
        <v>CT</v>
      </c>
      <c r="G397" t="str">
        <f>"06831"</f>
        <v>06831</v>
      </c>
      <c r="H397" t="str">
        <f>"2038692130"</f>
        <v>2038692130</v>
      </c>
      <c r="I397" t="str">
        <f>"ENGLISH;SPANISH"</f>
        <v>ENGLISH;SPANISH</v>
      </c>
    </row>
    <row r="398" spans="1:9" x14ac:dyDescent="0.3">
      <c r="A398" t="str">
        <f>"NORWALK PHARMACY LLC"</f>
        <v>NORWALK PHARMACY LLC</v>
      </c>
      <c r="B398" t="str">
        <f t="shared" si="43"/>
        <v>Pharmacy</v>
      </c>
      <c r="C398" t="str">
        <f>"250 WESTPORT AVENUE"</f>
        <v>250 WESTPORT AVENUE</v>
      </c>
      <c r="D398" t="str">
        <f>"STE 4"</f>
        <v>STE 4</v>
      </c>
      <c r="E398" t="str">
        <f>"NORWALK"</f>
        <v>NORWALK</v>
      </c>
      <c r="F398" t="str">
        <f>"CT"</f>
        <v>CT</v>
      </c>
      <c r="G398" t="str">
        <f>"06851"</f>
        <v>06851</v>
      </c>
      <c r="H398" t="str">
        <f>"2039560526"</f>
        <v>2039560526</v>
      </c>
      <c r="I398" t="str">
        <f>"CHINESE;ENGLISH;HINDI;MALAYALAM"</f>
        <v>CHINESE;ENGLISH;HINDI;MALAYALAM</v>
      </c>
    </row>
    <row r="399" spans="1:9" x14ac:dyDescent="0.3">
      <c r="A399" t="str">
        <f>"NORWICH PHARMACY LLC"</f>
        <v>NORWICH PHARMACY LLC</v>
      </c>
      <c r="B399" t="str">
        <f t="shared" si="43"/>
        <v>Pharmacy</v>
      </c>
      <c r="C399" t="str">
        <f>"77 SALEM TPKE, STE 104"</f>
        <v>77 SALEM TPKE, STE 104</v>
      </c>
      <c r="D399" t="str">
        <f>""</f>
        <v/>
      </c>
      <c r="E399" t="str">
        <f>"NORWICH"</f>
        <v>NORWICH</v>
      </c>
      <c r="F399" t="str">
        <f>"CT"</f>
        <v>CT</v>
      </c>
      <c r="G399" t="str">
        <f>"06360"</f>
        <v>06360</v>
      </c>
      <c r="H399" t="str">
        <f>"8603832630"</f>
        <v>8603832630</v>
      </c>
      <c r="I399" t="str">
        <f>"ENGLISH;SPANISH"</f>
        <v>ENGLISH;SPANISH</v>
      </c>
    </row>
    <row r="400" spans="1:9" x14ac:dyDescent="0.3">
      <c r="A400" t="str">
        <f>"NOSTRUMRX PHARMACY"</f>
        <v>NOSTRUMRX PHARMACY</v>
      </c>
      <c r="B400" t="str">
        <f t="shared" si="43"/>
        <v>Pharmacy</v>
      </c>
      <c r="C400" t="str">
        <f>"2286 BERLIN TPK"</f>
        <v>2286 BERLIN TPK</v>
      </c>
      <c r="D400" t="str">
        <f>""</f>
        <v/>
      </c>
      <c r="E400" t="str">
        <f>"NEWINGTON"</f>
        <v>NEWINGTON</v>
      </c>
      <c r="F400" t="str">
        <f>"CT"</f>
        <v>CT</v>
      </c>
      <c r="G400" t="str">
        <f>"06111"</f>
        <v>06111</v>
      </c>
      <c r="H400" t="str">
        <f>"8603435220"</f>
        <v>8603435220</v>
      </c>
      <c r="I400" t="str">
        <f>"ENGLISH"</f>
        <v>ENGLISH</v>
      </c>
    </row>
    <row r="401" spans="1:9" x14ac:dyDescent="0.3">
      <c r="A401" t="str">
        <f>"NUFACTOR, INC"</f>
        <v>NUFACTOR, INC</v>
      </c>
      <c r="B401" t="str">
        <f t="shared" si="43"/>
        <v>Pharmacy</v>
      </c>
      <c r="C401" t="str">
        <f>"44900 WINCHESTER RD"</f>
        <v>44900 WINCHESTER RD</v>
      </c>
      <c r="D401" t="str">
        <f>""</f>
        <v/>
      </c>
      <c r="E401" t="str">
        <f>"TEMECULA"</f>
        <v>TEMECULA</v>
      </c>
      <c r="F401" t="str">
        <f>"CA"</f>
        <v>CA</v>
      </c>
      <c r="G401" t="str">
        <f>"92590"</f>
        <v>92590</v>
      </c>
      <c r="H401" t="str">
        <f>"8003236832"</f>
        <v>8003236832</v>
      </c>
      <c r="I401" t="str">
        <f>"ENGLISH;HINDI;SPANISH"</f>
        <v>ENGLISH;HINDI;SPANISH</v>
      </c>
    </row>
    <row r="402" spans="1:9" x14ac:dyDescent="0.3">
      <c r="A402" t="str">
        <f>"NUTMEG PHARMACY MOODUS LLC"</f>
        <v>NUTMEG PHARMACY MOODUS LLC</v>
      </c>
      <c r="B402" t="str">
        <f t="shared" si="43"/>
        <v>Pharmacy</v>
      </c>
      <c r="C402" t="str">
        <f>"26 FALLS ROAD"</f>
        <v>26 FALLS ROAD</v>
      </c>
      <c r="D402" t="str">
        <f>""</f>
        <v/>
      </c>
      <c r="E402" t="str">
        <f>"MOODUS"</f>
        <v>MOODUS</v>
      </c>
      <c r="F402" t="str">
        <f>"CT"</f>
        <v>CT</v>
      </c>
      <c r="G402" t="str">
        <f>"06469"</f>
        <v>06469</v>
      </c>
      <c r="H402" t="str">
        <f>"8608918142"</f>
        <v>8608918142</v>
      </c>
      <c r="I402" t="str">
        <f>"ENGLISH"</f>
        <v>ENGLISH</v>
      </c>
    </row>
    <row r="403" spans="1:9" x14ac:dyDescent="0.3">
      <c r="A403" t="str">
        <f>"NUTMEG PHARMACY NEW LONDON LLC"</f>
        <v>NUTMEG PHARMACY NEW LONDON LLC</v>
      </c>
      <c r="B403" t="str">
        <f t="shared" si="43"/>
        <v>Pharmacy</v>
      </c>
      <c r="C403" t="str">
        <f>"345 BROAD STREET"</f>
        <v>345 BROAD STREET</v>
      </c>
      <c r="D403" t="str">
        <f>""</f>
        <v/>
      </c>
      <c r="E403" t="str">
        <f>"NEW LONDON"</f>
        <v>NEW LONDON</v>
      </c>
      <c r="F403" t="str">
        <f>"CT"</f>
        <v>CT</v>
      </c>
      <c r="G403" t="str">
        <f>"06320"</f>
        <v>06320</v>
      </c>
      <c r="H403" t="str">
        <f>"8609104909"</f>
        <v>8609104909</v>
      </c>
      <c r="I403" t="str">
        <f>"ENGLISH"</f>
        <v>ENGLISH</v>
      </c>
    </row>
    <row r="404" spans="1:9" x14ac:dyDescent="0.3">
      <c r="A404" t="str">
        <f>"ONCOMED PHARMACEUTICAL SERVICES OF MA, LLC"</f>
        <v>ONCOMED PHARMACEUTICAL SERVICES OF MA, LLC</v>
      </c>
      <c r="B404" t="str">
        <f t="shared" si="43"/>
        <v>Pharmacy</v>
      </c>
      <c r="C404" t="str">
        <f>"335 BEAR HILL ROAD"</f>
        <v>335 BEAR HILL ROAD</v>
      </c>
      <c r="D404" t="str">
        <f>"SUITE 2100"</f>
        <v>SUITE 2100</v>
      </c>
      <c r="E404" t="str">
        <f>"WALTHAM"</f>
        <v>WALTHAM</v>
      </c>
      <c r="F404" t="str">
        <f>"MA"</f>
        <v>MA</v>
      </c>
      <c r="G404" t="str">
        <f>"02451"</f>
        <v>02451</v>
      </c>
      <c r="H404" t="str">
        <f>"8776626633"</f>
        <v>8776626633</v>
      </c>
      <c r="I404" t="str">
        <f>"ENGLISH;SPANISH"</f>
        <v>ENGLISH;SPANISH</v>
      </c>
    </row>
    <row r="405" spans="1:9" x14ac:dyDescent="0.3">
      <c r="A405" t="str">
        <f>"OPTIME CARE, INC"</f>
        <v>OPTIME CARE, INC</v>
      </c>
      <c r="B405" t="str">
        <f t="shared" si="43"/>
        <v>Pharmacy</v>
      </c>
      <c r="C405" t="str">
        <f>"4060 WEDGEWAY CT"</f>
        <v>4060 WEDGEWAY CT</v>
      </c>
      <c r="D405" t="str">
        <f>""</f>
        <v/>
      </c>
      <c r="E405" t="str">
        <f>"EARTH CITY"</f>
        <v>EARTH CITY</v>
      </c>
      <c r="F405" t="str">
        <f>"MO"</f>
        <v>MO</v>
      </c>
      <c r="G405" t="str">
        <f>"63045"</f>
        <v>63045</v>
      </c>
      <c r="H405" t="str">
        <f>"8882872017"</f>
        <v>8882872017</v>
      </c>
      <c r="I405" t="str">
        <f>"ENGLISH;POLISH;PORTUGUESE;RUSSIAN;SPANISH"</f>
        <v>ENGLISH;POLISH;PORTUGUESE;RUSSIAN;SPANISH</v>
      </c>
    </row>
    <row r="406" spans="1:9" x14ac:dyDescent="0.3">
      <c r="A406" t="str">
        <f>"OPTION CARE ENTERPRISES,INC. D/B/A OPTION CARE"</f>
        <v>OPTION CARE ENTERPRISES,INC. D/B/A OPTION CARE</v>
      </c>
      <c r="B406" t="str">
        <f t="shared" si="43"/>
        <v>Pharmacy</v>
      </c>
      <c r="C406" t="str">
        <f>"100 TRAP FALLS ROAD"</f>
        <v>100 TRAP FALLS ROAD</v>
      </c>
      <c r="D406" t="str">
        <f>"SUITE 200"</f>
        <v>SUITE 200</v>
      </c>
      <c r="E406" t="str">
        <f>"SHELTON"</f>
        <v>SHELTON</v>
      </c>
      <c r="F406" t="str">
        <f>"CT"</f>
        <v>CT</v>
      </c>
      <c r="G406" t="str">
        <f>"06484"</f>
        <v>06484</v>
      </c>
      <c r="H406" t="str">
        <f>"8002054567"</f>
        <v>8002054567</v>
      </c>
      <c r="I406" t="str">
        <f>"ENGLISH;INTERPRETER AVAILABLE"</f>
        <v>ENGLISH;INTERPRETER AVAILABLE</v>
      </c>
    </row>
    <row r="407" spans="1:9" x14ac:dyDescent="0.3">
      <c r="A407" t="str">
        <f>"OPTUM INFUSION SERVICES 500, INC."</f>
        <v>OPTUM INFUSION SERVICES 500, INC.</v>
      </c>
      <c r="B407" t="str">
        <f t="shared" si="43"/>
        <v>Pharmacy</v>
      </c>
      <c r="C407" t="str">
        <f>"33 N PLAINS INDUSTRIAL RD"</f>
        <v>33 N PLAINS INDUSTRIAL RD</v>
      </c>
      <c r="D407" t="str">
        <f>"STE B"</f>
        <v>STE B</v>
      </c>
      <c r="E407" t="str">
        <f>"WALLINGFORD"</f>
        <v>WALLINGFORD</v>
      </c>
      <c r="F407" t="str">
        <f>"CT"</f>
        <v>CT</v>
      </c>
      <c r="G407" t="str">
        <f>"06492"</f>
        <v>06492</v>
      </c>
      <c r="H407" t="str">
        <f>"8008425720"</f>
        <v>8008425720</v>
      </c>
      <c r="I407" t="str">
        <f>"ENGLISH;SPANISH"</f>
        <v>ENGLISH;SPANISH</v>
      </c>
    </row>
    <row r="408" spans="1:9" x14ac:dyDescent="0.3">
      <c r="A408" t="str">
        <f>"OPTUM PHARMACY 701, LLC"</f>
        <v>OPTUM PHARMACY 701, LLC</v>
      </c>
      <c r="B408" t="str">
        <f t="shared" si="43"/>
        <v>Pharmacy</v>
      </c>
      <c r="C408" t="str">
        <f>"4100 S SAGINAW ST, SUITE D"</f>
        <v>4100 S SAGINAW ST, SUITE D</v>
      </c>
      <c r="D408" t="str">
        <f>""</f>
        <v/>
      </c>
      <c r="E408" t="str">
        <f>"FLINT"</f>
        <v>FLINT</v>
      </c>
      <c r="F408" t="str">
        <f>"MI"</f>
        <v>MI</v>
      </c>
      <c r="G408" t="str">
        <f>"48507"</f>
        <v>48507</v>
      </c>
      <c r="H408" t="str">
        <f>"8554274682"</f>
        <v>8554274682</v>
      </c>
      <c r="I408" t="str">
        <f>"ENGLISH"</f>
        <v>ENGLISH</v>
      </c>
    </row>
    <row r="409" spans="1:9" x14ac:dyDescent="0.3">
      <c r="A409" t="str">
        <f>"OPTUM PHARMACY 705, LLC"</f>
        <v>OPTUM PHARMACY 705, LLC</v>
      </c>
      <c r="B409" t="str">
        <f t="shared" si="43"/>
        <v>Pharmacy</v>
      </c>
      <c r="C409" t="str">
        <f>"1100 LEE BRANCH"</f>
        <v>1100 LEE BRANCH</v>
      </c>
      <c r="D409" t="str">
        <f>""</f>
        <v/>
      </c>
      <c r="E409" t="str">
        <f>"BIRMINGHAM"</f>
        <v>BIRMINGHAM</v>
      </c>
      <c r="F409" t="str">
        <f>"AL"</f>
        <v>AL</v>
      </c>
      <c r="G409" t="str">
        <f>"35242"</f>
        <v>35242</v>
      </c>
      <c r="H409" t="str">
        <f>"2059958897"</f>
        <v>2059958897</v>
      </c>
      <c r="I409" t="str">
        <f>"ENGLISH;SPANISH"</f>
        <v>ENGLISH;SPANISH</v>
      </c>
    </row>
    <row r="410" spans="1:9" x14ac:dyDescent="0.3">
      <c r="A410" t="str">
        <f>"OPTUM PHARMACY 706, INC."</f>
        <v>OPTUM PHARMACY 706, INC.</v>
      </c>
      <c r="B410" t="str">
        <f t="shared" si="43"/>
        <v>Pharmacy</v>
      </c>
      <c r="C410" t="str">
        <f>"30-30 47TH AVE"</f>
        <v>30-30 47TH AVE</v>
      </c>
      <c r="D410" t="str">
        <f>"SUITE 410"</f>
        <v>SUITE 410</v>
      </c>
      <c r="E410" t="str">
        <f>"LONG ISLAND CITY"</f>
        <v>LONG ISLAND CITY</v>
      </c>
      <c r="F410" t="str">
        <f>"NY"</f>
        <v>NY</v>
      </c>
      <c r="G410" t="str">
        <f>"11101"</f>
        <v>11101</v>
      </c>
      <c r="H410" t="str">
        <f>"7183102293"</f>
        <v>7183102293</v>
      </c>
      <c r="I410" t="str">
        <f>"ENGLISH;RUSSIAN;SPANISH"</f>
        <v>ENGLISH;RUSSIAN;SPANISH</v>
      </c>
    </row>
    <row r="411" spans="1:9" x14ac:dyDescent="0.3">
      <c r="A411" t="str">
        <f>"OPTUM PHARMACY 801, INC."</f>
        <v>OPTUM PHARMACY 801, INC.</v>
      </c>
      <c r="B411" t="str">
        <f t="shared" si="43"/>
        <v>Pharmacy</v>
      </c>
      <c r="C411" t="str">
        <f>"24416 N. 19TH AVE."</f>
        <v>24416 N. 19TH AVE.</v>
      </c>
      <c r="D411" t="str">
        <f>""</f>
        <v/>
      </c>
      <c r="E411" t="str">
        <f>"PHOENIX"</f>
        <v>PHOENIX</v>
      </c>
      <c r="F411" t="str">
        <f>"AZ"</f>
        <v>AZ</v>
      </c>
      <c r="G411" t="str">
        <f>"85085"</f>
        <v>85085</v>
      </c>
      <c r="H411" t="str">
        <f>"8777196349"</f>
        <v>8777196349</v>
      </c>
      <c r="I411" t="str">
        <f>"ENGLISH;SPANISH"</f>
        <v>ENGLISH;SPANISH</v>
      </c>
    </row>
    <row r="412" spans="1:9" x14ac:dyDescent="0.3">
      <c r="A412" t="str">
        <f>"OPTUMRX, INC. D/B/A OPTUMRX"</f>
        <v>OPTUMRX, INC. D/B/A OPTUMRX</v>
      </c>
      <c r="B412" t="str">
        <f t="shared" si="43"/>
        <v>Pharmacy</v>
      </c>
      <c r="C412" t="str">
        <f>"6800 W. 115TH STREET, STE 600"</f>
        <v>6800 W. 115TH STREET, STE 600</v>
      </c>
      <c r="D412" t="str">
        <f>"OPTUMRX"</f>
        <v>OPTUMRX</v>
      </c>
      <c r="E412" t="str">
        <f>"OVERLAND PARK"</f>
        <v>OVERLAND PARK</v>
      </c>
      <c r="F412" t="str">
        <f>"KS"</f>
        <v>KS</v>
      </c>
      <c r="G412" t="str">
        <f>"66211"</f>
        <v>66211</v>
      </c>
      <c r="H412" t="str">
        <f>"8005626223"</f>
        <v>8005626223</v>
      </c>
      <c r="I412" t="str">
        <f>"ENGLISH;SPANISH"</f>
        <v>ENGLISH;SPANISH</v>
      </c>
    </row>
    <row r="413" spans="1:9" x14ac:dyDescent="0.3">
      <c r="A413" t="str">
        <f>"ORANGE MARKETS LLC"</f>
        <v>ORANGE MARKETS LLC</v>
      </c>
      <c r="B413" t="str">
        <f t="shared" si="43"/>
        <v>Pharmacy</v>
      </c>
      <c r="C413" t="str">
        <f>"259 BULL HILL LANE"</f>
        <v>259 BULL HILL LANE</v>
      </c>
      <c r="D413" t="str">
        <f>""</f>
        <v/>
      </c>
      <c r="E413" t="str">
        <f>"ORANGE"</f>
        <v>ORANGE</v>
      </c>
      <c r="F413" t="str">
        <f>"CT"</f>
        <v>CT</v>
      </c>
      <c r="G413" t="str">
        <f>"06477"</f>
        <v>06477</v>
      </c>
      <c r="H413" t="str">
        <f>"2037950634"</f>
        <v>2037950634</v>
      </c>
      <c r="I413" t="str">
        <f>"ENGLISH"</f>
        <v>ENGLISH</v>
      </c>
    </row>
    <row r="414" spans="1:9" x14ac:dyDescent="0.3">
      <c r="A414" t="str">
        <f>"ORSINI PHARMACEUTICAL SERVICES, LLC"</f>
        <v>ORSINI PHARMACEUTICAL SERVICES, LLC</v>
      </c>
      <c r="B414" t="str">
        <f t="shared" si="43"/>
        <v>Pharmacy</v>
      </c>
      <c r="C414" t="str">
        <f>"1107 NICHOLAS BLVD"</f>
        <v>1107 NICHOLAS BLVD</v>
      </c>
      <c r="D414" t="str">
        <f>""</f>
        <v/>
      </c>
      <c r="E414" t="str">
        <f>"ELK GROVE VILLAGE"</f>
        <v>ELK GROVE VILLAGE</v>
      </c>
      <c r="F414" t="str">
        <f>"IL"</f>
        <v>IL</v>
      </c>
      <c r="G414" t="str">
        <f>"60007"</f>
        <v>60007</v>
      </c>
      <c r="H414" t="str">
        <f>"8004108575"</f>
        <v>8004108575</v>
      </c>
      <c r="I414" t="str">
        <f>"ENGLISH;POLISH;SPANISH;TAGALOG"</f>
        <v>ENGLISH;POLISH;SPANISH;TAGALOG</v>
      </c>
    </row>
    <row r="415" spans="1:9" x14ac:dyDescent="0.3">
      <c r="A415" t="str">
        <f>"OXFORD PHARMACY"</f>
        <v>OXFORD PHARMACY</v>
      </c>
      <c r="B415" t="str">
        <f t="shared" si="43"/>
        <v>Pharmacy</v>
      </c>
      <c r="C415" t="str">
        <f>"100 OXFORD RD"</f>
        <v>100 OXFORD RD</v>
      </c>
      <c r="D415" t="str">
        <f>""</f>
        <v/>
      </c>
      <c r="E415" t="str">
        <f>"OXFORD"</f>
        <v>OXFORD</v>
      </c>
      <c r="F415" t="str">
        <f>"CT"</f>
        <v>CT</v>
      </c>
      <c r="G415" t="str">
        <f>"06478"</f>
        <v>06478</v>
      </c>
      <c r="H415" t="str">
        <f>"2038884567"</f>
        <v>2038884567</v>
      </c>
      <c r="I415" t="str">
        <f>"ENGLISH"</f>
        <v>ENGLISH</v>
      </c>
    </row>
    <row r="416" spans="1:9" x14ac:dyDescent="0.3">
      <c r="A416" t="str">
        <f>"OXFORD PHARMACY CT INC"</f>
        <v>OXFORD PHARMACY CT INC</v>
      </c>
      <c r="B416" t="str">
        <f t="shared" si="43"/>
        <v>Pharmacy</v>
      </c>
      <c r="C416" t="str">
        <f>"4180 MADISON AVE"</f>
        <v>4180 MADISON AVE</v>
      </c>
      <c r="D416" t="str">
        <f>""</f>
        <v/>
      </c>
      <c r="E416" t="str">
        <f>"TRUMBULL"</f>
        <v>TRUMBULL</v>
      </c>
      <c r="F416" t="str">
        <f>"CT"</f>
        <v>CT</v>
      </c>
      <c r="G416" t="str">
        <f>"06611"</f>
        <v>06611</v>
      </c>
      <c r="H416" t="str">
        <f>"2035028231"</f>
        <v>2035028231</v>
      </c>
      <c r="I416" t="str">
        <f>"ENGLISH;SPANISH"</f>
        <v>ENGLISH;SPANISH</v>
      </c>
    </row>
    <row r="417" spans="1:9" x14ac:dyDescent="0.3">
      <c r="A417" t="str">
        <f>"PANTHERX SPECIALTY, LLC"</f>
        <v>PANTHERX SPECIALTY, LLC</v>
      </c>
      <c r="B417" t="str">
        <f t="shared" si="43"/>
        <v>Pharmacy</v>
      </c>
      <c r="C417" t="str">
        <f>"1120 STEVENSON MILL ROAD"</f>
        <v>1120 STEVENSON MILL ROAD</v>
      </c>
      <c r="D417" t="str">
        <f>"SUITE 400"</f>
        <v>SUITE 400</v>
      </c>
      <c r="E417" t="str">
        <f>"CORAOPOLIS"</f>
        <v>CORAOPOLIS</v>
      </c>
      <c r="F417" t="str">
        <f>"PA"</f>
        <v>PA</v>
      </c>
      <c r="G417" t="str">
        <f>"15108"</f>
        <v>15108</v>
      </c>
      <c r="H417" t="str">
        <f>"8557268479"</f>
        <v>8557268479</v>
      </c>
      <c r="I417" t="str">
        <f>"ENGLISH"</f>
        <v>ENGLISH</v>
      </c>
    </row>
    <row r="418" spans="1:9" x14ac:dyDescent="0.3">
      <c r="A418" t="str">
        <f>"PARA-PHARM INC"</f>
        <v>PARA-PHARM INC</v>
      </c>
      <c r="B418" t="str">
        <f t="shared" si="43"/>
        <v>Pharmacy</v>
      </c>
      <c r="C418" t="str">
        <f>"1213 MAIN STREET"</f>
        <v>1213 MAIN STREET</v>
      </c>
      <c r="D418" t="str">
        <f>"DBA / MEDICAL PHARMACY"</f>
        <v>DBA / MEDICAL PHARMACY</v>
      </c>
      <c r="E418" t="str">
        <f>"WILLIMANTIC"</f>
        <v>WILLIMANTIC</v>
      </c>
      <c r="F418" t="str">
        <f>"CT"</f>
        <v>CT</v>
      </c>
      <c r="G418" t="str">
        <f>"06226"</f>
        <v>06226</v>
      </c>
      <c r="H418" t="str">
        <f>"8607866431"</f>
        <v>8607866431</v>
      </c>
      <c r="I418" t="str">
        <f>"ENGLISH;SPANISH"</f>
        <v>ENGLISH;SPANISH</v>
      </c>
    </row>
    <row r="419" spans="1:9" x14ac:dyDescent="0.3">
      <c r="A419" t="str">
        <f>"PENNSYLVANIA CVS PHARMACY, L.L.C."</f>
        <v>PENNSYLVANIA CVS PHARMACY, L.L.C.</v>
      </c>
      <c r="B419" t="str">
        <f t="shared" si="43"/>
        <v>Pharmacy</v>
      </c>
      <c r="C419" t="str">
        <f>"755 S CHESTER RD"</f>
        <v>755 S CHESTER RD</v>
      </c>
      <c r="D419" t="str">
        <f>""</f>
        <v/>
      </c>
      <c r="E419" t="str">
        <f>"SWARTHMORE"</f>
        <v>SWARTHMORE</v>
      </c>
      <c r="F419" t="str">
        <f>"PA"</f>
        <v>PA</v>
      </c>
      <c r="G419" t="str">
        <f>"19081"</f>
        <v>19081</v>
      </c>
      <c r="H419" t="str">
        <f>"6103289160"</f>
        <v>6103289160</v>
      </c>
      <c r="I419" t="str">
        <f>"ENGLISH"</f>
        <v>ENGLISH</v>
      </c>
    </row>
    <row r="420" spans="1:9" x14ac:dyDescent="0.3">
      <c r="A420" t="str">
        <f>"PENTEC HEALTH INC"</f>
        <v>PENTEC HEALTH INC</v>
      </c>
      <c r="B420" t="str">
        <f t="shared" si="43"/>
        <v>Pharmacy</v>
      </c>
      <c r="C420" t="str">
        <f>"4 CREEK PARKWAY"</f>
        <v>4 CREEK PARKWAY</v>
      </c>
      <c r="D420" t="str">
        <f>""</f>
        <v/>
      </c>
      <c r="E420" t="str">
        <f>"BOOTHWYN"</f>
        <v>BOOTHWYN</v>
      </c>
      <c r="F420" t="str">
        <f>"PA"</f>
        <v>PA</v>
      </c>
      <c r="G420" t="str">
        <f>"19061"</f>
        <v>19061</v>
      </c>
      <c r="H420" t="str">
        <f>"8002234376"</f>
        <v>8002234376</v>
      </c>
      <c r="I420" t="str">
        <f>"ENGLISH;SPANISH"</f>
        <v>ENGLISH;SPANISH</v>
      </c>
    </row>
    <row r="421" spans="1:9" x14ac:dyDescent="0.3">
      <c r="A421" t="str">
        <f>"PETRICONE'S APOTHECARY LLC"</f>
        <v>PETRICONE'S APOTHECARY LLC</v>
      </c>
      <c r="B421" t="str">
        <f t="shared" si="43"/>
        <v>Pharmacy</v>
      </c>
      <c r="C421" t="str">
        <f>"4 BRIDGE ST"</f>
        <v>4 BRIDGE ST</v>
      </c>
      <c r="D421" t="str">
        <f>""</f>
        <v/>
      </c>
      <c r="E421" t="str">
        <f>"NEW HARTFORD"</f>
        <v>NEW HARTFORD</v>
      </c>
      <c r="F421" t="str">
        <f>"CT"</f>
        <v>CT</v>
      </c>
      <c r="G421" t="str">
        <f>"06057"</f>
        <v>06057</v>
      </c>
      <c r="H421" t="str">
        <f>"8604695400"</f>
        <v>8604695400</v>
      </c>
      <c r="I421" t="str">
        <f>"ENGLISH"</f>
        <v>ENGLISH</v>
      </c>
    </row>
    <row r="422" spans="1:9" x14ac:dyDescent="0.3">
      <c r="A422" t="str">
        <f>"PHARMACEUTICAL SPECIALTIES LLC"</f>
        <v>PHARMACEUTICAL SPECIALTIES LLC</v>
      </c>
      <c r="B422" t="str">
        <f t="shared" si="43"/>
        <v>Pharmacy</v>
      </c>
      <c r="C422" t="str">
        <f>"150 CLEVELAND RD STE B"</f>
        <v>150 CLEVELAND RD STE B</v>
      </c>
      <c r="D422" t="str">
        <f>""</f>
        <v/>
      </c>
      <c r="E422" t="str">
        <f>"BOGART"</f>
        <v>BOGART</v>
      </c>
      <c r="F422" t="str">
        <f>"GA"</f>
        <v>GA</v>
      </c>
      <c r="G422" t="str">
        <f>"30622"</f>
        <v>30622</v>
      </c>
      <c r="H422" t="str">
        <f>"8008186486"</f>
        <v>8008186486</v>
      </c>
      <c r="I422" t="str">
        <f>"ENGLISH;SPANISH"</f>
        <v>ENGLISH;SPANISH</v>
      </c>
    </row>
    <row r="423" spans="1:9" x14ac:dyDescent="0.3">
      <c r="A423" t="str">
        <f>"PHARMACY ASSOCIATES OF GLENS FALLS, LLC"</f>
        <v>PHARMACY ASSOCIATES OF GLENS FALLS, LLC</v>
      </c>
      <c r="B423" t="str">
        <f t="shared" si="43"/>
        <v>Pharmacy</v>
      </c>
      <c r="C423" t="str">
        <f>"14 COMMERCE DR"</f>
        <v>14 COMMERCE DR</v>
      </c>
      <c r="D423" t="str">
        <f>""</f>
        <v/>
      </c>
      <c r="E423" t="str">
        <f>"BALLSTON SPA"</f>
        <v>BALLSTON SPA</v>
      </c>
      <c r="F423" t="str">
        <f>"NY"</f>
        <v>NY</v>
      </c>
      <c r="G423" t="str">
        <f>"12020"</f>
        <v>12020</v>
      </c>
      <c r="H423" t="str">
        <f>"5188992002"</f>
        <v>5188992002</v>
      </c>
      <c r="I423" t="str">
        <f>"ENGLISH"</f>
        <v>ENGLISH</v>
      </c>
    </row>
    <row r="424" spans="1:9" x14ac:dyDescent="0.3">
      <c r="A424" t="str">
        <f>"PHARMACY CORPORATION OF AMERICA"</f>
        <v>PHARMACY CORPORATION OF AMERICA</v>
      </c>
      <c r="B424" t="str">
        <f t="shared" si="43"/>
        <v>Pharmacy</v>
      </c>
      <c r="C424" t="str">
        <f>"8 FAIRFIELD BLVD. STE 103"</f>
        <v>8 FAIRFIELD BLVD. STE 103</v>
      </c>
      <c r="D424" t="str">
        <f>""</f>
        <v/>
      </c>
      <c r="E424" t="str">
        <f>"WALLINGFORD"</f>
        <v>WALLINGFORD</v>
      </c>
      <c r="F424" t="str">
        <f>"CT"</f>
        <v>CT</v>
      </c>
      <c r="G424" t="str">
        <f>"06491"</f>
        <v>06491</v>
      </c>
      <c r="H424" t="str">
        <f>"8608296575"</f>
        <v>8608296575</v>
      </c>
      <c r="I424" t="str">
        <f>"ENGLISH"</f>
        <v>ENGLISH</v>
      </c>
    </row>
    <row r="425" spans="1:9" x14ac:dyDescent="0.3">
      <c r="A425" t="str">
        <f>"PHARMACY CORPORATION OF AMERICA"</f>
        <v>PHARMACY CORPORATION OF AMERICA</v>
      </c>
      <c r="B425" t="str">
        <f t="shared" si="43"/>
        <v>Pharmacy</v>
      </c>
      <c r="C425" t="str">
        <f>"350 MYLES STANDISH BLVD"</f>
        <v>350 MYLES STANDISH BLVD</v>
      </c>
      <c r="D425" t="str">
        <f>"SUITE 104"</f>
        <v>SUITE 104</v>
      </c>
      <c r="E425" t="str">
        <f>"TAUNTON"</f>
        <v>TAUNTON</v>
      </c>
      <c r="F425" t="str">
        <f>"MA"</f>
        <v>MA</v>
      </c>
      <c r="G425" t="str">
        <f>"02780"</f>
        <v>02780</v>
      </c>
      <c r="H425" t="str">
        <f>"5084275171"</f>
        <v>5084275171</v>
      </c>
      <c r="I425" t="str">
        <f>"ENGLISH"</f>
        <v>ENGLISH</v>
      </c>
    </row>
    <row r="426" spans="1:9" x14ac:dyDescent="0.3">
      <c r="A426" t="str">
        <f>"PHARMACY4HUMANITY"</f>
        <v>PHARMACY4HUMANITY</v>
      </c>
      <c r="B426" t="str">
        <f t="shared" si="43"/>
        <v>Pharmacy</v>
      </c>
      <c r="C426" t="str">
        <f>"619 MAIN ST."</f>
        <v>619 MAIN ST.</v>
      </c>
      <c r="D426" t="str">
        <f>""</f>
        <v/>
      </c>
      <c r="E426" t="str">
        <f>"FARMINGDALE"</f>
        <v>FARMINGDALE</v>
      </c>
      <c r="F426" t="str">
        <f>"NY"</f>
        <v>NY</v>
      </c>
      <c r="G426" t="str">
        <f>"11735"</f>
        <v>11735</v>
      </c>
      <c r="H426" t="str">
        <f>"6315476520"</f>
        <v>6315476520</v>
      </c>
      <c r="I426" t="str">
        <f>"ENGLISH;SPANISH"</f>
        <v>ENGLISH;SPANISH</v>
      </c>
    </row>
    <row r="427" spans="1:9" x14ac:dyDescent="0.3">
      <c r="A427" t="str">
        <f>"PHARMACYATBBSQUARE, LLC"</f>
        <v>PHARMACYATBBSQUARE, LLC</v>
      </c>
      <c r="B427" t="str">
        <f t="shared" si="43"/>
        <v>Pharmacy</v>
      </c>
      <c r="C427" t="str">
        <f>"55 ISHAM RD"</f>
        <v>55 ISHAM RD</v>
      </c>
      <c r="D427" t="str">
        <f>""</f>
        <v/>
      </c>
      <c r="E427" t="str">
        <f>"WEST HARTFORD"</f>
        <v>WEST HARTFORD</v>
      </c>
      <c r="F427" t="str">
        <f t="shared" ref="F427:F432" si="44">"CT"</f>
        <v>CT</v>
      </c>
      <c r="G427" t="str">
        <f>"06107"</f>
        <v>06107</v>
      </c>
      <c r="H427" t="str">
        <f>"8606566229"</f>
        <v>8606566229</v>
      </c>
      <c r="I427" t="str">
        <f>"ENGLISH;RUSSIAN;SPANISH"</f>
        <v>ENGLISH;RUSSIAN;SPANISH</v>
      </c>
    </row>
    <row r="428" spans="1:9" x14ac:dyDescent="0.3">
      <c r="A428" t="str">
        <f>"PHARMCARE USA OF CONNECTICUT LLC"</f>
        <v>PHARMCARE USA OF CONNECTICUT LLC</v>
      </c>
      <c r="B428" t="str">
        <f t="shared" si="43"/>
        <v>Pharmacy</v>
      </c>
      <c r="C428" t="str">
        <f>"770 SAYBROOK ROAD"</f>
        <v>770 SAYBROOK ROAD</v>
      </c>
      <c r="D428" t="str">
        <f>"SUITE 1"</f>
        <v>SUITE 1</v>
      </c>
      <c r="E428" t="str">
        <f>"MIDDLETOWN"</f>
        <v>MIDDLETOWN</v>
      </c>
      <c r="F428" t="str">
        <f t="shared" si="44"/>
        <v>CT</v>
      </c>
      <c r="G428" t="str">
        <f>"06457"</f>
        <v>06457</v>
      </c>
      <c r="H428" t="str">
        <f>"8553291190"</f>
        <v>8553291190</v>
      </c>
      <c r="I428" t="str">
        <f t="shared" ref="I428:I434" si="45">"ENGLISH"</f>
        <v>ENGLISH</v>
      </c>
    </row>
    <row r="429" spans="1:9" x14ac:dyDescent="0.3">
      <c r="A429" t="str">
        <f>"PHARMSCRIPT OF CT LLC"</f>
        <v>PHARMSCRIPT OF CT LLC</v>
      </c>
      <c r="B429" t="str">
        <f t="shared" si="43"/>
        <v>Pharmacy</v>
      </c>
      <c r="C429" t="str">
        <f>"80 CLARK DRIVE"</f>
        <v>80 CLARK DRIVE</v>
      </c>
      <c r="D429" t="str">
        <f>"SUITE B"</f>
        <v>SUITE B</v>
      </c>
      <c r="E429" t="str">
        <f>"EAST BERLIN"</f>
        <v>EAST BERLIN</v>
      </c>
      <c r="F429" t="str">
        <f t="shared" si="44"/>
        <v>CT</v>
      </c>
      <c r="G429" t="str">
        <f>"06023"</f>
        <v>06023</v>
      </c>
      <c r="H429" t="str">
        <f>"9083891818"</f>
        <v>9083891818</v>
      </c>
      <c r="I429" t="str">
        <f t="shared" si="45"/>
        <v>ENGLISH</v>
      </c>
    </row>
    <row r="430" spans="1:9" x14ac:dyDescent="0.3">
      <c r="A430" t="str">
        <f>"PLAINVILLE COMMUNITY PHARMACY LLC"</f>
        <v>PLAINVILLE COMMUNITY PHARMACY LLC</v>
      </c>
      <c r="B430" t="str">
        <f t="shared" si="43"/>
        <v>Pharmacy</v>
      </c>
      <c r="C430" t="str">
        <f>"170 EAST STREET"</f>
        <v>170 EAST STREET</v>
      </c>
      <c r="D430" t="str">
        <f>""</f>
        <v/>
      </c>
      <c r="E430" t="str">
        <f>"PLAINVILLE"</f>
        <v>PLAINVILLE</v>
      </c>
      <c r="F430" t="str">
        <f t="shared" si="44"/>
        <v>CT</v>
      </c>
      <c r="G430" t="str">
        <f>"06062"</f>
        <v>06062</v>
      </c>
      <c r="H430" t="str">
        <f>"8602229422"</f>
        <v>8602229422</v>
      </c>
      <c r="I430" t="str">
        <f t="shared" si="45"/>
        <v>ENGLISH</v>
      </c>
    </row>
    <row r="431" spans="1:9" x14ac:dyDescent="0.3">
      <c r="A431" t="str">
        <f>"PORT PHARMACY LLC"</f>
        <v>PORT PHARMACY LLC</v>
      </c>
      <c r="B431" t="str">
        <f t="shared" si="43"/>
        <v>Pharmacy</v>
      </c>
      <c r="C431" t="str">
        <f>"289 POST ROAD EAST"</f>
        <v>289 POST ROAD EAST</v>
      </c>
      <c r="D431" t="str">
        <f>""</f>
        <v/>
      </c>
      <c r="E431" t="str">
        <f>"WESTPORT"</f>
        <v>WESTPORT</v>
      </c>
      <c r="F431" t="str">
        <f t="shared" si="44"/>
        <v>CT</v>
      </c>
      <c r="G431" t="str">
        <f>"06880"</f>
        <v>06880</v>
      </c>
      <c r="H431" t="str">
        <f>"2032260741"</f>
        <v>2032260741</v>
      </c>
      <c r="I431" t="str">
        <f t="shared" si="45"/>
        <v>ENGLISH</v>
      </c>
    </row>
    <row r="432" spans="1:9" x14ac:dyDescent="0.3">
      <c r="A432" t="str">
        <f>"PRICE CHOPPER INC"</f>
        <v>PRICE CHOPPER INC</v>
      </c>
      <c r="B432" t="str">
        <f t="shared" si="43"/>
        <v>Pharmacy</v>
      </c>
      <c r="C432" t="str">
        <f>"140 MAIN STREET"</f>
        <v>140 MAIN STREET</v>
      </c>
      <c r="D432" t="str">
        <f>""</f>
        <v/>
      </c>
      <c r="E432" t="str">
        <f>"OXFORD"</f>
        <v>OXFORD</v>
      </c>
      <c r="F432" t="str">
        <f t="shared" si="44"/>
        <v>CT</v>
      </c>
      <c r="G432" t="str">
        <f>"06478"</f>
        <v>06478</v>
      </c>
      <c r="H432" t="str">
        <f>"2034637991"</f>
        <v>2034637991</v>
      </c>
      <c r="I432" t="str">
        <f t="shared" si="45"/>
        <v>ENGLISH</v>
      </c>
    </row>
    <row r="433" spans="1:9" x14ac:dyDescent="0.3">
      <c r="A433" t="str">
        <f>"PRIME THERAPEUTICS PHARMACY LLC"</f>
        <v>PRIME THERAPEUTICS PHARMACY LLC</v>
      </c>
      <c r="B433" t="str">
        <f t="shared" si="43"/>
        <v>Pharmacy</v>
      </c>
      <c r="C433" t="str">
        <f>"6870 SHADOWRIDGE DRIVE"</f>
        <v>6870 SHADOWRIDGE DRIVE</v>
      </c>
      <c r="D433" t="str">
        <f>"SUITE 111"</f>
        <v>SUITE 111</v>
      </c>
      <c r="E433" t="str">
        <f>"ORLANDO"</f>
        <v>ORLANDO</v>
      </c>
      <c r="F433" t="str">
        <f>"FL"</f>
        <v>FL</v>
      </c>
      <c r="G433" t="str">
        <f>"32812"</f>
        <v>32812</v>
      </c>
      <c r="H433" t="str">
        <f>"8665542673"</f>
        <v>8665542673</v>
      </c>
      <c r="I433" t="str">
        <f t="shared" si="45"/>
        <v>ENGLISH</v>
      </c>
    </row>
    <row r="434" spans="1:9" x14ac:dyDescent="0.3">
      <c r="A434" t="str">
        <f>"PROCARE LTC PHARMACY OF CT LLC"</f>
        <v>PROCARE LTC PHARMACY OF CT LLC</v>
      </c>
      <c r="B434" t="str">
        <f t="shared" si="43"/>
        <v>Pharmacy</v>
      </c>
      <c r="C434" t="str">
        <f>"1492 HIGHLAND AVE"</f>
        <v>1492 HIGHLAND AVE</v>
      </c>
      <c r="D434" t="str">
        <f>"SUITE 1C"</f>
        <v>SUITE 1C</v>
      </c>
      <c r="E434" t="str">
        <f>"CHESHIRE"</f>
        <v>CHESHIRE</v>
      </c>
      <c r="F434" t="str">
        <f>"CT"</f>
        <v>CT</v>
      </c>
      <c r="G434" t="str">
        <f>"06410"</f>
        <v>06410</v>
      </c>
      <c r="H434" t="str">
        <f>"2034399099"</f>
        <v>2034399099</v>
      </c>
      <c r="I434" t="str">
        <f t="shared" si="45"/>
        <v>ENGLISH</v>
      </c>
    </row>
    <row r="435" spans="1:9" x14ac:dyDescent="0.3">
      <c r="A435" t="str">
        <f>"PROCARE PHARMACY DIRECT LLC"</f>
        <v>PROCARE PHARMACY DIRECT LLC</v>
      </c>
      <c r="B435" t="str">
        <f t="shared" si="43"/>
        <v>Pharmacy</v>
      </c>
      <c r="C435" t="str">
        <f>"105 MALL BLVD"</f>
        <v>105 MALL BLVD</v>
      </c>
      <c r="D435" t="str">
        <f>"DBA CVS/SPECIALTY #2921"</f>
        <v>DBA CVS/SPECIALTY #2921</v>
      </c>
      <c r="E435" t="str">
        <f>"MONROEVILLE"</f>
        <v>MONROEVILLE</v>
      </c>
      <c r="F435" t="str">
        <f>"PA"</f>
        <v>PA</v>
      </c>
      <c r="G435" t="str">
        <f>"15146"</f>
        <v>15146</v>
      </c>
      <c r="H435" t="str">
        <f>"9097994280"</f>
        <v>9097994280</v>
      </c>
      <c r="I435" t="str">
        <f>"ENGLISH;SPANISH"</f>
        <v>ENGLISH;SPANISH</v>
      </c>
    </row>
    <row r="436" spans="1:9" x14ac:dyDescent="0.3">
      <c r="A436" t="str">
        <f>"PROCARE PHARMACY, L.L.C."</f>
        <v>PROCARE PHARMACY, L.L.C.</v>
      </c>
      <c r="B436" t="str">
        <f t="shared" si="43"/>
        <v>Pharmacy</v>
      </c>
      <c r="C436" t="str">
        <f>"350 LONGWOOD AVE, STE B"</f>
        <v>350 LONGWOOD AVE, STE B</v>
      </c>
      <c r="D436" t="str">
        <f>""</f>
        <v/>
      </c>
      <c r="E436" t="str">
        <f>"BOSTON"</f>
        <v>BOSTON</v>
      </c>
      <c r="F436" t="str">
        <f>"MA"</f>
        <v>MA</v>
      </c>
      <c r="G436" t="str">
        <f>"02115"</f>
        <v>02115</v>
      </c>
      <c r="H436" t="str">
        <f>"6177318665"</f>
        <v>6177318665</v>
      </c>
      <c r="I436" t="str">
        <f>"ENGLISH"</f>
        <v>ENGLISH</v>
      </c>
    </row>
    <row r="437" spans="1:9" x14ac:dyDescent="0.3">
      <c r="A437" t="str">
        <f>"PROCARE PHARMACY, L.L.C."</f>
        <v>PROCARE PHARMACY, L.L.C.</v>
      </c>
      <c r="B437" t="str">
        <f t="shared" si="43"/>
        <v>Pharmacy</v>
      </c>
      <c r="C437" t="str">
        <f>"2 DUDLEY STREET, SUITE 170"</f>
        <v>2 DUDLEY STREET, SUITE 170</v>
      </c>
      <c r="D437" t="str">
        <f>""</f>
        <v/>
      </c>
      <c r="E437" t="str">
        <f>"PROVIDENCE"</f>
        <v>PROVIDENCE</v>
      </c>
      <c r="F437" t="str">
        <f>"RI"</f>
        <v>RI</v>
      </c>
      <c r="G437" t="str">
        <f>"02905"</f>
        <v>02905</v>
      </c>
      <c r="H437" t="str">
        <f>"4017708577"</f>
        <v>4017708577</v>
      </c>
      <c r="I437" t="str">
        <f>"ENGLISH;INTERPRETER AVAILABLE"</f>
        <v>ENGLISH;INTERPRETER AVAILABLE</v>
      </c>
    </row>
    <row r="438" spans="1:9" x14ac:dyDescent="0.3">
      <c r="A438" t="str">
        <f>"PROCARE PHARMACY, LLC"</f>
        <v>PROCARE PHARMACY, LLC</v>
      </c>
      <c r="B438" t="str">
        <f t="shared" si="43"/>
        <v>Pharmacy</v>
      </c>
      <c r="C438" t="str">
        <f>"35 KNEELAND STREET"</f>
        <v>35 KNEELAND STREET</v>
      </c>
      <c r="D438" t="str">
        <f>""</f>
        <v/>
      </c>
      <c r="E438" t="str">
        <f>"BOSTON"</f>
        <v>BOSTON</v>
      </c>
      <c r="F438" t="str">
        <f>"MA"</f>
        <v>MA</v>
      </c>
      <c r="G438" t="str">
        <f>"02111"</f>
        <v>02111</v>
      </c>
      <c r="H438" t="str">
        <f>"8002387828"</f>
        <v>8002387828</v>
      </c>
      <c r="I438" t="str">
        <f>"ENGLISH"</f>
        <v>ENGLISH</v>
      </c>
    </row>
    <row r="439" spans="1:9" x14ac:dyDescent="0.3">
      <c r="A439" t="str">
        <f>"R W  GROUP INC"</f>
        <v>R W  GROUP INC</v>
      </c>
      <c r="B439" t="str">
        <f t="shared" si="43"/>
        <v>Pharmacy</v>
      </c>
      <c r="C439" t="str">
        <f>"57 SOUTH ST"</f>
        <v>57 SOUTH ST</v>
      </c>
      <c r="D439" t="str">
        <f>"BEACON PRESCRIPTIONS"</f>
        <v>BEACON PRESCRIPTIONS</v>
      </c>
      <c r="E439" t="str">
        <f>"BRISTOL"</f>
        <v>BRISTOL</v>
      </c>
      <c r="F439" t="str">
        <f>"CT"</f>
        <v>CT</v>
      </c>
      <c r="G439" t="str">
        <f>"06010"</f>
        <v>06010</v>
      </c>
      <c r="H439" t="str">
        <f>"8605831006"</f>
        <v>8605831006</v>
      </c>
      <c r="I439" t="str">
        <f>"ENGLISH;FRENCH;SPANISH"</f>
        <v>ENGLISH;FRENCH;SPANISH</v>
      </c>
    </row>
    <row r="440" spans="1:9" x14ac:dyDescent="0.3">
      <c r="A440" t="str">
        <f>"R W GROUP INC DBA BEACON MEDICATION SERVICES"</f>
        <v>R W GROUP INC DBA BEACON MEDICATION SERVICES</v>
      </c>
      <c r="B440" t="str">
        <f t="shared" si="43"/>
        <v>Pharmacy</v>
      </c>
      <c r="C440" t="str">
        <f>"25 MELLEN ST"</f>
        <v>25 MELLEN ST</v>
      </c>
      <c r="D440" t="str">
        <f>""</f>
        <v/>
      </c>
      <c r="E440" t="str">
        <f>"BRISTOL"</f>
        <v>BRISTOL</v>
      </c>
      <c r="F440" t="str">
        <f>"CT"</f>
        <v>CT</v>
      </c>
      <c r="G440" t="str">
        <f>"06010"</f>
        <v>06010</v>
      </c>
      <c r="H440" t="str">
        <f>"8605824847"</f>
        <v>8605824847</v>
      </c>
      <c r="I440" t="str">
        <f>"ENGLISH;FRENCH;SPANISH"</f>
        <v>ENGLISH;FRENCH;SPANISH</v>
      </c>
    </row>
    <row r="441" spans="1:9" x14ac:dyDescent="0.3">
      <c r="A441" t="str">
        <f>"RCS FAIRFIELD"</f>
        <v>RCS FAIRFIELD</v>
      </c>
      <c r="B441" t="str">
        <f t="shared" si="43"/>
        <v>Pharmacy</v>
      </c>
      <c r="C441" t="str">
        <f>"3695 POST ROAD"</f>
        <v>3695 POST ROAD</v>
      </c>
      <c r="D441" t="str">
        <f>""</f>
        <v/>
      </c>
      <c r="E441" t="str">
        <f>"SOUTHPORT"</f>
        <v>SOUTHPORT</v>
      </c>
      <c r="F441" t="str">
        <f>"CT"</f>
        <v>CT</v>
      </c>
      <c r="G441" t="str">
        <f>"06890"</f>
        <v>06890</v>
      </c>
      <c r="H441" t="str">
        <f>"2032628000"</f>
        <v>2032628000</v>
      </c>
      <c r="I441" t="str">
        <f>"ENGLISH;SPANISH"</f>
        <v>ENGLISH;SPANISH</v>
      </c>
    </row>
    <row r="442" spans="1:9" x14ac:dyDescent="0.3">
      <c r="A442" t="str">
        <f>"RED CHIP OF NEVADA"</f>
        <v>RED CHIP OF NEVADA</v>
      </c>
      <c r="B442" t="str">
        <f t="shared" si="43"/>
        <v>Pharmacy</v>
      </c>
      <c r="C442" t="str">
        <f>"18009 SKY PARK CIRCLE"</f>
        <v>18009 SKY PARK CIRCLE</v>
      </c>
      <c r="D442" t="str">
        <f>"SUITE F"</f>
        <v>SUITE F</v>
      </c>
      <c r="E442" t="str">
        <f>"IRVINE"</f>
        <v>IRVINE</v>
      </c>
      <c r="F442" t="str">
        <f>"CA"</f>
        <v>CA</v>
      </c>
      <c r="G442" t="str">
        <f>"92614"</f>
        <v>92614</v>
      </c>
      <c r="H442" t="str">
        <f>"8889892462"</f>
        <v>8889892462</v>
      </c>
      <c r="I442" t="str">
        <f>"ENGLISH;SPANISH"</f>
        <v>ENGLISH;SPANISH</v>
      </c>
    </row>
    <row r="443" spans="1:9" x14ac:dyDescent="0.3">
      <c r="A443" t="str">
        <f>"REDDING PHARMACY INC"</f>
        <v>REDDING PHARMACY INC</v>
      </c>
      <c r="B443" t="str">
        <f t="shared" si="43"/>
        <v>Pharmacy</v>
      </c>
      <c r="C443" t="str">
        <f>"73 REDDING ROAD"</f>
        <v>73 REDDING ROAD</v>
      </c>
      <c r="D443" t="str">
        <f>""</f>
        <v/>
      </c>
      <c r="E443" t="str">
        <f>"GEORGETOWN"</f>
        <v>GEORGETOWN</v>
      </c>
      <c r="F443" t="str">
        <f>"CT"</f>
        <v>CT</v>
      </c>
      <c r="G443" t="str">
        <f>"06829"</f>
        <v>06829</v>
      </c>
      <c r="H443" t="str">
        <f>"2035448306"</f>
        <v>2035448306</v>
      </c>
      <c r="I443" t="str">
        <f>"CHINESE;ENGLISH"</f>
        <v>CHINESE;ENGLISH</v>
      </c>
    </row>
    <row r="444" spans="1:9" x14ac:dyDescent="0.3">
      <c r="A444" t="str">
        <f>"RHODE ISLAND CVS PHARMACY, LLC"</f>
        <v>RHODE ISLAND CVS PHARMACY, LLC</v>
      </c>
      <c r="B444" t="str">
        <f t="shared" si="43"/>
        <v>Pharmacy</v>
      </c>
      <c r="C444" t="str">
        <f>"150 GRANITE STREET"</f>
        <v>150 GRANITE STREET</v>
      </c>
      <c r="D444" t="str">
        <f>""</f>
        <v/>
      </c>
      <c r="E444" t="str">
        <f>"WESTERLY"</f>
        <v>WESTERLY</v>
      </c>
      <c r="F444" t="str">
        <f>"RI"</f>
        <v>RI</v>
      </c>
      <c r="G444" t="str">
        <f>"02891"</f>
        <v>02891</v>
      </c>
      <c r="H444" t="str">
        <f>"8007467287"</f>
        <v>8007467287</v>
      </c>
      <c r="I444" t="str">
        <f>"ENGLISH"</f>
        <v>ENGLISH</v>
      </c>
    </row>
    <row r="445" spans="1:9" x14ac:dyDescent="0.3">
      <c r="A445" t="str">
        <f>"ROYAL PHARMACY LLC"</f>
        <v>ROYAL PHARMACY LLC</v>
      </c>
      <c r="B445" t="str">
        <f t="shared" si="43"/>
        <v>Pharmacy</v>
      </c>
      <c r="C445" t="str">
        <f>"1420 MERIDEN RD"</f>
        <v>1420 MERIDEN RD</v>
      </c>
      <c r="D445" t="str">
        <f>""</f>
        <v/>
      </c>
      <c r="E445" t="str">
        <f>"WATERBURY"</f>
        <v>WATERBURY</v>
      </c>
      <c r="F445" t="str">
        <f t="shared" ref="F445:F458" si="46">"CT"</f>
        <v>CT</v>
      </c>
      <c r="G445" t="str">
        <f>"06705"</f>
        <v>06705</v>
      </c>
      <c r="H445" t="str">
        <f>"2035275160"</f>
        <v>2035275160</v>
      </c>
      <c r="I445" t="str">
        <f>"ENGLISH"</f>
        <v>ENGLISH</v>
      </c>
    </row>
    <row r="446" spans="1:9" x14ac:dyDescent="0.3">
      <c r="A446" t="str">
        <f>"RSP PHARMACY CORP"</f>
        <v>RSP PHARMACY CORP</v>
      </c>
      <c r="B446" t="str">
        <f t="shared" si="43"/>
        <v>Pharmacy</v>
      </c>
      <c r="C446" t="str">
        <f>"44 EAST AVE"</f>
        <v>44 EAST AVE</v>
      </c>
      <c r="D446" t="str">
        <f>""</f>
        <v/>
      </c>
      <c r="E446" t="str">
        <f>"NEW CANAAN"</f>
        <v>NEW CANAAN</v>
      </c>
      <c r="F446" t="str">
        <f t="shared" si="46"/>
        <v>CT</v>
      </c>
      <c r="G446" t="str">
        <f>"06840"</f>
        <v>06840</v>
      </c>
      <c r="H446" t="str">
        <f>"2039664575"</f>
        <v>2039664575</v>
      </c>
      <c r="I446" t="str">
        <f>"ENGLISH;SPANISH"</f>
        <v>ENGLISH;SPANISH</v>
      </c>
    </row>
    <row r="447" spans="1:9" x14ac:dyDescent="0.3">
      <c r="A447" t="str">
        <f>"RX HEALTH PHARMACY"</f>
        <v>RX HEALTH PHARMACY</v>
      </c>
      <c r="B447" t="str">
        <f t="shared" si="43"/>
        <v>Pharmacy</v>
      </c>
      <c r="C447" t="str">
        <f>"70 INWOOD ROAD"</f>
        <v>70 INWOOD ROAD</v>
      </c>
      <c r="D447" t="str">
        <f>"STE 5"</f>
        <v>STE 5</v>
      </c>
      <c r="E447" t="str">
        <f>"ROCKY HILL"</f>
        <v>ROCKY HILL</v>
      </c>
      <c r="F447" t="str">
        <f t="shared" si="46"/>
        <v>CT</v>
      </c>
      <c r="G447" t="str">
        <f>"06067"</f>
        <v>06067</v>
      </c>
      <c r="H447" t="str">
        <f>"8607274064"</f>
        <v>8607274064</v>
      </c>
      <c r="I447" t="str">
        <f>"ENGLISH"</f>
        <v>ENGLISH</v>
      </c>
    </row>
    <row r="448" spans="1:9" x14ac:dyDescent="0.3">
      <c r="A448" t="str">
        <f>"S W C  CORPORATION"</f>
        <v>S W C  CORPORATION</v>
      </c>
      <c r="B448" t="str">
        <f t="shared" si="43"/>
        <v>Pharmacy</v>
      </c>
      <c r="C448" t="str">
        <f>"120 CONNECTICUT AVE"</f>
        <v>120 CONNECTICUT AVE</v>
      </c>
      <c r="D448" t="str">
        <f>""</f>
        <v/>
      </c>
      <c r="E448" t="str">
        <f>"NORWALK"</f>
        <v>NORWALK</v>
      </c>
      <c r="F448" t="str">
        <f t="shared" si="46"/>
        <v>CT</v>
      </c>
      <c r="G448" t="str">
        <f>"06854"</f>
        <v>06854</v>
      </c>
      <c r="H448" t="str">
        <f>"2038990708"</f>
        <v>2038990708</v>
      </c>
      <c r="I448" t="str">
        <f>"ENGLISH;SPANISH"</f>
        <v>ENGLISH;SPANISH</v>
      </c>
    </row>
    <row r="449" spans="1:9" x14ac:dyDescent="0.3">
      <c r="A449" t="str">
        <f>"S W C CORPORATION"</f>
        <v>S W C CORPORATION</v>
      </c>
      <c r="B449" t="str">
        <f t="shared" si="43"/>
        <v>Pharmacy</v>
      </c>
      <c r="C449" t="str">
        <f>"24 STEVENS ST"</f>
        <v>24 STEVENS ST</v>
      </c>
      <c r="D449" t="str">
        <f>"SOUTHWEST CORP PHARMACY"</f>
        <v>SOUTHWEST CORP PHARMACY</v>
      </c>
      <c r="E449" t="str">
        <f>"NORWALK"</f>
        <v>NORWALK</v>
      </c>
      <c r="F449" t="str">
        <f t="shared" si="46"/>
        <v>CT</v>
      </c>
      <c r="G449" t="str">
        <f>"06850"</f>
        <v>06850</v>
      </c>
      <c r="H449" t="str">
        <f>"2038522690"</f>
        <v>2038522690</v>
      </c>
      <c r="I449" t="str">
        <f>"ENGLISH"</f>
        <v>ENGLISH</v>
      </c>
    </row>
    <row r="450" spans="1:9" x14ac:dyDescent="0.3">
      <c r="A450" t="str">
        <f>"SAINT FRANCIS HOSPITAL AND MEDICAL CENTER"</f>
        <v>SAINT FRANCIS HOSPITAL AND MEDICAL CENTER</v>
      </c>
      <c r="B450" t="str">
        <f t="shared" ref="B450:B513" si="47">"Pharmacy"</f>
        <v>Pharmacy</v>
      </c>
      <c r="C450" t="str">
        <f>"100 WOODLAND ST"</f>
        <v>100 WOODLAND ST</v>
      </c>
      <c r="D450" t="str">
        <f>""</f>
        <v/>
      </c>
      <c r="E450" t="str">
        <f>"HARTFORD"</f>
        <v>HARTFORD</v>
      </c>
      <c r="F450" t="str">
        <f t="shared" si="46"/>
        <v>CT</v>
      </c>
      <c r="G450" t="str">
        <f>"06105"</f>
        <v>06105</v>
      </c>
      <c r="H450" t="str">
        <f>"8605272800"</f>
        <v>8605272800</v>
      </c>
      <c r="I450" t="str">
        <f>"ENGLISH;INTERPRETER AVAILABLE;POLISH;PORTUGUESE;RUSSIAN;SPANISH"</f>
        <v>ENGLISH;INTERPRETER AVAILABLE;POLISH;PORTUGUESE;RUSSIAN;SPANISH</v>
      </c>
    </row>
    <row r="451" spans="1:9" x14ac:dyDescent="0.3">
      <c r="A451" t="str">
        <f>"SAINT FRANCIS HOSPITAL AND MEDICAL CENTER"</f>
        <v>SAINT FRANCIS HOSPITAL AND MEDICAL CENTER</v>
      </c>
      <c r="B451" t="str">
        <f t="shared" si="47"/>
        <v>Pharmacy</v>
      </c>
      <c r="C451" t="str">
        <f>"131 COVENTRY ST"</f>
        <v>131 COVENTRY ST</v>
      </c>
      <c r="D451" t="str">
        <f>"STE 2"</f>
        <v>STE 2</v>
      </c>
      <c r="E451" t="str">
        <f>"HARTFORD"</f>
        <v>HARTFORD</v>
      </c>
      <c r="F451" t="str">
        <f t="shared" si="46"/>
        <v>CT</v>
      </c>
      <c r="G451" t="str">
        <f>"06112"</f>
        <v>06112</v>
      </c>
      <c r="H451" t="str">
        <f>"8602862766"</f>
        <v>8602862766</v>
      </c>
      <c r="I451" t="str">
        <f>"ENGLISH;POLISH;PORTUGUESE;RUSSIAN;SPANISH"</f>
        <v>ENGLISH;POLISH;PORTUGUESE;RUSSIAN;SPANISH</v>
      </c>
    </row>
    <row r="452" spans="1:9" x14ac:dyDescent="0.3">
      <c r="A452" t="str">
        <f>"SAINT FRANCIS HOSPITAL AND MEDICAL CENTER"</f>
        <v>SAINT FRANCIS HOSPITAL AND MEDICAL CENTER</v>
      </c>
      <c r="B452" t="str">
        <f t="shared" si="47"/>
        <v>Pharmacy</v>
      </c>
      <c r="C452" t="str">
        <f>"131 COVENTRY ST"</f>
        <v>131 COVENTRY ST</v>
      </c>
      <c r="D452" t="str">
        <f>"STE 2"</f>
        <v>STE 2</v>
      </c>
      <c r="E452" t="str">
        <f>"HARTFORD"</f>
        <v>HARTFORD</v>
      </c>
      <c r="F452" t="str">
        <f t="shared" si="46"/>
        <v>CT</v>
      </c>
      <c r="G452" t="str">
        <f>"06112"</f>
        <v>06112</v>
      </c>
      <c r="H452" t="str">
        <f>"8602862766"</f>
        <v>8602862766</v>
      </c>
      <c r="I452" t="str">
        <f>"ENGLISH;INTERPRETER AVAILABLE;POLISH;PORTUGUESE;RUSSIAN;SPANISH"</f>
        <v>ENGLISH;INTERPRETER AVAILABLE;POLISH;PORTUGUESE;RUSSIAN;SPANISH</v>
      </c>
    </row>
    <row r="453" spans="1:9" x14ac:dyDescent="0.3">
      <c r="A453" t="str">
        <f>"SAINT FRANCIS HOSPITAL AND MEDICAL CENTER"</f>
        <v>SAINT FRANCIS HOSPITAL AND MEDICAL CENTER</v>
      </c>
      <c r="B453" t="str">
        <f t="shared" si="47"/>
        <v>Pharmacy</v>
      </c>
      <c r="C453" t="str">
        <f>"100 WOODLAND ST"</f>
        <v>100 WOODLAND ST</v>
      </c>
      <c r="D453" t="str">
        <f>""</f>
        <v/>
      </c>
      <c r="E453" t="str">
        <f>"HARTFORD"</f>
        <v>HARTFORD</v>
      </c>
      <c r="F453" t="str">
        <f t="shared" si="46"/>
        <v>CT</v>
      </c>
      <c r="G453" t="str">
        <f>"06105"</f>
        <v>06105</v>
      </c>
      <c r="H453" t="str">
        <f>"8607142800"</f>
        <v>8607142800</v>
      </c>
      <c r="I453" t="str">
        <f>"ENGLISH;INTERPRETER AVAILABLE;POLISH;PORTUGUESE;RUSSIAN;SPANISH"</f>
        <v>ENGLISH;INTERPRETER AVAILABLE;POLISH;PORTUGUESE;RUSSIAN;SPANISH</v>
      </c>
    </row>
    <row r="454" spans="1:9" x14ac:dyDescent="0.3">
      <c r="A454" t="str">
        <f>"SALEM HEALTH MART  PHARMACY"</f>
        <v>SALEM HEALTH MART  PHARMACY</v>
      </c>
      <c r="B454" t="str">
        <f t="shared" si="47"/>
        <v>Pharmacy</v>
      </c>
      <c r="C454" t="str">
        <f>"20 HARTFORD RD UNIT 16"</f>
        <v>20 HARTFORD RD UNIT 16</v>
      </c>
      <c r="D454" t="str">
        <f>""</f>
        <v/>
      </c>
      <c r="E454" t="str">
        <f>"SALEM"</f>
        <v>SALEM</v>
      </c>
      <c r="F454" t="str">
        <f t="shared" si="46"/>
        <v>CT</v>
      </c>
      <c r="G454" t="str">
        <f>"06420"</f>
        <v>06420</v>
      </c>
      <c r="H454" t="str">
        <f>"8609498624"</f>
        <v>8609498624</v>
      </c>
      <c r="I454" t="str">
        <f>"ENGLISH;RUSSIAN"</f>
        <v>ENGLISH;RUSSIAN</v>
      </c>
    </row>
    <row r="455" spans="1:9" x14ac:dyDescent="0.3">
      <c r="A455" t="str">
        <f>"SALEM PHARMACY LLC"</f>
        <v>SALEM PHARMACY LLC</v>
      </c>
      <c r="B455" t="str">
        <f t="shared" si="47"/>
        <v>Pharmacy</v>
      </c>
      <c r="C455" t="str">
        <f>"20 HARTFORD RD"</f>
        <v>20 HARTFORD RD</v>
      </c>
      <c r="D455" t="str">
        <f>"STE 16"</f>
        <v>STE 16</v>
      </c>
      <c r="E455" t="str">
        <f>"SALEM"</f>
        <v>SALEM</v>
      </c>
      <c r="F455" t="str">
        <f t="shared" si="46"/>
        <v>CT</v>
      </c>
      <c r="G455" t="str">
        <f>"06420"</f>
        <v>06420</v>
      </c>
      <c r="H455" t="str">
        <f>"8609498624"</f>
        <v>8609498624</v>
      </c>
      <c r="I455" t="str">
        <f>"ENGLISH;RUSSIAN"</f>
        <v>ENGLISH;RUSSIAN</v>
      </c>
    </row>
    <row r="456" spans="1:9" x14ac:dyDescent="0.3">
      <c r="A456" t="str">
        <f>"SAM'S EAST, INC."</f>
        <v>SAM'S EAST, INC.</v>
      </c>
      <c r="B456" t="str">
        <f t="shared" si="47"/>
        <v>Pharmacy</v>
      </c>
      <c r="C456" t="str">
        <f>"3465 BERLIN TPKE"</f>
        <v>3465 BERLIN TPKE</v>
      </c>
      <c r="D456" t="str">
        <f>""</f>
        <v/>
      </c>
      <c r="E456" t="str">
        <f>"NEWINGTON"</f>
        <v>NEWINGTON</v>
      </c>
      <c r="F456" t="str">
        <f t="shared" si="46"/>
        <v>CT</v>
      </c>
      <c r="G456" t="str">
        <f>"06111"</f>
        <v>06111</v>
      </c>
      <c r="H456" t="str">
        <f>"8606657813"</f>
        <v>8606657813</v>
      </c>
      <c r="I456" t="str">
        <f>"CHINESE;ENGLISH;POLISH;PORTUGUESE;RUSSIAN;SPANISH"</f>
        <v>CHINESE;ENGLISH;POLISH;PORTUGUESE;RUSSIAN;SPANISH</v>
      </c>
    </row>
    <row r="457" spans="1:9" x14ac:dyDescent="0.3">
      <c r="A457" t="str">
        <f>"SANJEVANI CORP"</f>
        <v>SANJEVANI CORP</v>
      </c>
      <c r="B457" t="str">
        <f t="shared" si="47"/>
        <v>Pharmacy</v>
      </c>
      <c r="C457" t="str">
        <f>"366-C CROMWELL AVE"</f>
        <v>366-C CROMWELL AVE</v>
      </c>
      <c r="D457" t="str">
        <f>""</f>
        <v/>
      </c>
      <c r="E457" t="str">
        <f>"ROCKY HILL"</f>
        <v>ROCKY HILL</v>
      </c>
      <c r="F457" t="str">
        <f t="shared" si="46"/>
        <v>CT</v>
      </c>
      <c r="G457" t="str">
        <f>"06067"</f>
        <v>06067</v>
      </c>
      <c r="H457" t="str">
        <f>"8603724618"</f>
        <v>8603724618</v>
      </c>
      <c r="I457" t="str">
        <f>"ENGLISH;HINDI"</f>
        <v>ENGLISH;HINDI</v>
      </c>
    </row>
    <row r="458" spans="1:9" x14ac:dyDescent="0.3">
      <c r="A458" t="str">
        <f>"SBS PHARMACY LLC, DBA/WILLIMANTIC PHARMACY"</f>
        <v>SBS PHARMACY LLC, DBA/WILLIMANTIC PHARMACY</v>
      </c>
      <c r="B458" t="str">
        <f t="shared" si="47"/>
        <v>Pharmacy</v>
      </c>
      <c r="C458" t="str">
        <f>"972 MAIN STREET"</f>
        <v>972 MAIN STREET</v>
      </c>
      <c r="D458" t="str">
        <f>""</f>
        <v/>
      </c>
      <c r="E458" t="str">
        <f>"WILLIMANTIC"</f>
        <v>WILLIMANTIC</v>
      </c>
      <c r="F458" t="str">
        <f t="shared" si="46"/>
        <v>CT</v>
      </c>
      <c r="G458" t="str">
        <f>"06226"</f>
        <v>06226</v>
      </c>
      <c r="H458" t="str">
        <f>"8604239600"</f>
        <v>8604239600</v>
      </c>
      <c r="I458" t="str">
        <f>"ENGLISH;HINDI;SPANISH"</f>
        <v>ENGLISH;HINDI;SPANISH</v>
      </c>
    </row>
    <row r="459" spans="1:9" x14ac:dyDescent="0.3">
      <c r="A459" t="str">
        <f>"SEASIDE PHARMACY"</f>
        <v>SEASIDE PHARMACY</v>
      </c>
      <c r="B459" t="str">
        <f t="shared" si="47"/>
        <v>Pharmacy</v>
      </c>
      <c r="C459" t="str">
        <f>"224 POST ROAD"</f>
        <v>224 POST ROAD</v>
      </c>
      <c r="D459" t="str">
        <f>"SUITE 7"</f>
        <v>SUITE 7</v>
      </c>
      <c r="E459" t="str">
        <f>"WESTERLY"</f>
        <v>WESTERLY</v>
      </c>
      <c r="F459" t="str">
        <f>"RI"</f>
        <v>RI</v>
      </c>
      <c r="G459" t="str">
        <f>"02891"</f>
        <v>02891</v>
      </c>
      <c r="H459" t="str">
        <f>"4016374577"</f>
        <v>4016374577</v>
      </c>
      <c r="I459" t="str">
        <f>"ENGLISH"</f>
        <v>ENGLISH</v>
      </c>
    </row>
    <row r="460" spans="1:9" x14ac:dyDescent="0.3">
      <c r="A460" t="str">
        <f>"SEVEN PHARMACY LLC"</f>
        <v>SEVEN PHARMACY LLC</v>
      </c>
      <c r="B460" t="str">
        <f t="shared" si="47"/>
        <v>Pharmacy</v>
      </c>
      <c r="C460" t="str">
        <f>"345  MAIN AVE"</f>
        <v>345  MAIN AVE</v>
      </c>
      <c r="D460" t="str">
        <f>"STE 1"</f>
        <v>STE 1</v>
      </c>
      <c r="E460" t="str">
        <f>"NORWALK"</f>
        <v>NORWALK</v>
      </c>
      <c r="F460" t="str">
        <f>"CT"</f>
        <v>CT</v>
      </c>
      <c r="G460" t="str">
        <f>"06851"</f>
        <v>06851</v>
      </c>
      <c r="H460" t="str">
        <f>"2039004471"</f>
        <v>2039004471</v>
      </c>
      <c r="I460" t="str">
        <f>"ENGLISH"</f>
        <v>ENGLISH</v>
      </c>
    </row>
    <row r="461" spans="1:9" x14ac:dyDescent="0.3">
      <c r="A461" t="str">
        <f>"SHARON PHARMACY INC"</f>
        <v>SHARON PHARMACY INC</v>
      </c>
      <c r="B461" t="str">
        <f t="shared" si="47"/>
        <v>Pharmacy</v>
      </c>
      <c r="C461" t="str">
        <f>"8 GAY STREET"</f>
        <v>8 GAY STREET</v>
      </c>
      <c r="D461" t="str">
        <f>""</f>
        <v/>
      </c>
      <c r="E461" t="str">
        <f>"SHARON"</f>
        <v>SHARON</v>
      </c>
      <c r="F461" t="str">
        <f>"CT"</f>
        <v>CT</v>
      </c>
      <c r="G461" t="str">
        <f>"06069"</f>
        <v>06069</v>
      </c>
      <c r="H461" t="str">
        <f>"8603645272"</f>
        <v>8603645272</v>
      </c>
      <c r="I461" t="str">
        <f>"ENGLISH"</f>
        <v>ENGLISH</v>
      </c>
    </row>
    <row r="462" spans="1:9" x14ac:dyDescent="0.3">
      <c r="A462" t="str">
        <f>"SHOPRITE PHARMACY OF COMMERCE PARK"</f>
        <v>SHOPRITE PHARMACY OF COMMERCE PARK</v>
      </c>
      <c r="B462" t="str">
        <f t="shared" si="47"/>
        <v>Pharmacy</v>
      </c>
      <c r="C462" t="str">
        <f>"1990 WEST MAIN ST"</f>
        <v>1990 WEST MAIN ST</v>
      </c>
      <c r="D462" t="str">
        <f>"SHOPRITE PHARMACY"</f>
        <v>SHOPRITE PHARMACY</v>
      </c>
      <c r="E462" t="str">
        <f>"STAMFORD"</f>
        <v>STAMFORD</v>
      </c>
      <c r="F462" t="str">
        <f>"CT"</f>
        <v>CT</v>
      </c>
      <c r="G462" t="str">
        <f>"06902"</f>
        <v>06902</v>
      </c>
      <c r="H462" t="str">
        <f>"2039780546"</f>
        <v>2039780546</v>
      </c>
      <c r="I462" t="str">
        <f>"ALBANIAN;ENGLISH;SPANISH"</f>
        <v>ALBANIAN;ENGLISH;SPANISH</v>
      </c>
    </row>
    <row r="463" spans="1:9" x14ac:dyDescent="0.3">
      <c r="A463" t="str">
        <f>"SIMSBURY PHARMACY"</f>
        <v>SIMSBURY PHARMACY</v>
      </c>
      <c r="B463" t="str">
        <f t="shared" si="47"/>
        <v>Pharmacy</v>
      </c>
      <c r="C463" t="str">
        <f>"1418 HOPMEADOW STREET"</f>
        <v>1418 HOPMEADOW STREET</v>
      </c>
      <c r="D463" t="str">
        <f>""</f>
        <v/>
      </c>
      <c r="E463" t="str">
        <f>"SIMSBURY"</f>
        <v>SIMSBURY</v>
      </c>
      <c r="F463" t="str">
        <f>"CT"</f>
        <v>CT</v>
      </c>
      <c r="G463" t="str">
        <f>"06070"</f>
        <v>06070</v>
      </c>
      <c r="H463" t="str">
        <f>"8606584489"</f>
        <v>8606584489</v>
      </c>
      <c r="I463" t="str">
        <f>"ENGLISH"</f>
        <v>ENGLISH</v>
      </c>
    </row>
    <row r="464" spans="1:9" x14ac:dyDescent="0.3">
      <c r="A464" t="str">
        <f>"SLAVINS-HANCOCK PHARMACY, INC"</f>
        <v>SLAVINS-HANCOCK PHARMACY, INC</v>
      </c>
      <c r="B464" t="str">
        <f t="shared" si="47"/>
        <v>Pharmacy</v>
      </c>
      <c r="C464" t="str">
        <f>"922 WASHINGTON BOULEVARD"</f>
        <v>922 WASHINGTON BOULEVARD</v>
      </c>
      <c r="D464" t="str">
        <f>""</f>
        <v/>
      </c>
      <c r="E464" t="str">
        <f>"STAMFORD"</f>
        <v>STAMFORD</v>
      </c>
      <c r="F464" t="str">
        <f>"CT"</f>
        <v>CT</v>
      </c>
      <c r="G464" t="str">
        <f>"06901"</f>
        <v>06901</v>
      </c>
      <c r="H464" t="str">
        <f>"2033232161"</f>
        <v>2033232161</v>
      </c>
      <c r="I464" t="str">
        <f>"ENGLISH;HINDI;POLISH;RUSSIAN;SPANISH"</f>
        <v>ENGLISH;HINDI;POLISH;RUSSIAN;SPANISH</v>
      </c>
    </row>
    <row r="465" spans="1:9" x14ac:dyDescent="0.3">
      <c r="A465" t="str">
        <f>"SORKINS  RX  LTD"</f>
        <v>SORKINS  RX  LTD</v>
      </c>
      <c r="B465" t="str">
        <f t="shared" si="47"/>
        <v>Pharmacy</v>
      </c>
      <c r="C465" t="str">
        <f>"1985 MARCUS AVENUE"</f>
        <v>1985 MARCUS AVENUE</v>
      </c>
      <c r="D465" t="str">
        <f>"SUITE 130"</f>
        <v>SUITE 130</v>
      </c>
      <c r="E465" t="str">
        <f>"NEW HYDE PARK"</f>
        <v>NEW HYDE PARK</v>
      </c>
      <c r="F465" t="str">
        <f>"NY"</f>
        <v>NY</v>
      </c>
      <c r="G465" t="str">
        <f>"11042"</f>
        <v>11042</v>
      </c>
      <c r="H465" t="str">
        <f>"8772273405"</f>
        <v>8772273405</v>
      </c>
      <c r="I465" t="str">
        <f>"CHINESE;ENGLISH;FRENCH;HINDI;KOREAN;PORTUGUESE;RUSSIAN;SPANISH;URDU"</f>
        <v>CHINESE;ENGLISH;FRENCH;HINDI;KOREAN;PORTUGUESE;RUSSIAN;SPANISH;URDU</v>
      </c>
    </row>
    <row r="466" spans="1:9" x14ac:dyDescent="0.3">
      <c r="A466" t="str">
        <f>"SPECIALTY RX INC"</f>
        <v>SPECIALTY RX INC</v>
      </c>
      <c r="B466" t="str">
        <f t="shared" si="47"/>
        <v>Pharmacy</v>
      </c>
      <c r="C466" t="str">
        <f>"2 BERGEN TURNPIKE"</f>
        <v>2 BERGEN TURNPIKE</v>
      </c>
      <c r="D466" t="str">
        <f>""</f>
        <v/>
      </c>
      <c r="E466" t="str">
        <f>"RIDGEFIELD PARK"</f>
        <v>RIDGEFIELD PARK</v>
      </c>
      <c r="F466" t="str">
        <f>"NJ"</f>
        <v>NJ</v>
      </c>
      <c r="G466" t="str">
        <f>"07660"</f>
        <v>07660</v>
      </c>
      <c r="H466" t="str">
        <f>"9082416337"</f>
        <v>9082416337</v>
      </c>
      <c r="I466" t="str">
        <f>"ENGLISH"</f>
        <v>ENGLISH</v>
      </c>
    </row>
    <row r="467" spans="1:9" x14ac:dyDescent="0.3">
      <c r="A467" t="str">
        <f>"SPECIALTYRX CONSULTINGLLC DBA CENTERBROOK PHARMAC"</f>
        <v>SPECIALTYRX CONSULTINGLLC DBA CENTERBROOK PHARMAC</v>
      </c>
      <c r="B467" t="str">
        <f t="shared" si="47"/>
        <v>Pharmacy</v>
      </c>
      <c r="C467" t="str">
        <f>"40 MAIN STREET"</f>
        <v>40 MAIN STREET</v>
      </c>
      <c r="D467" t="str">
        <f>""</f>
        <v/>
      </c>
      <c r="E467" t="str">
        <f>"CENTERBROOK"</f>
        <v>CENTERBROOK</v>
      </c>
      <c r="F467" t="str">
        <f t="shared" ref="F467:F498" si="48">"CT"</f>
        <v>CT</v>
      </c>
      <c r="G467" t="str">
        <f>"06409"</f>
        <v>06409</v>
      </c>
      <c r="H467" t="str">
        <f>"8607671389"</f>
        <v>8607671389</v>
      </c>
      <c r="I467" t="str">
        <f>"ENGLISH"</f>
        <v>ENGLISH</v>
      </c>
    </row>
    <row r="468" spans="1:9" x14ac:dyDescent="0.3">
      <c r="A468" t="str">
        <f>"SRI RX LLC D/B/A ENGLISH APOTHECARY"</f>
        <v>SRI RX LLC D/B/A ENGLISH APOTHECARY</v>
      </c>
      <c r="B468" t="str">
        <f t="shared" si="47"/>
        <v>Pharmacy</v>
      </c>
      <c r="C468" t="str">
        <f>"140 GREENWOOD AVENUE"</f>
        <v>140 GREENWOOD AVENUE</v>
      </c>
      <c r="D468" t="str">
        <f>""</f>
        <v/>
      </c>
      <c r="E468" t="str">
        <f>"BETHEL"</f>
        <v>BETHEL</v>
      </c>
      <c r="F468" t="str">
        <f t="shared" si="48"/>
        <v>CT</v>
      </c>
      <c r="G468" t="str">
        <f>"06801"</f>
        <v>06801</v>
      </c>
      <c r="H468" t="str">
        <f>"2037923363"</f>
        <v>2037923363</v>
      </c>
      <c r="I468" t="str">
        <f>"ENGLISH"</f>
        <v>ENGLISH</v>
      </c>
    </row>
    <row r="469" spans="1:9" x14ac:dyDescent="0.3">
      <c r="A469" t="str">
        <f>"SSACT RX INC DBA ARCH STREET PHARMACY"</f>
        <v>SSACT RX INC DBA ARCH STREET PHARMACY</v>
      </c>
      <c r="B469" t="str">
        <f t="shared" si="47"/>
        <v>Pharmacy</v>
      </c>
      <c r="C469" t="str">
        <f>"333 ARCH STREET"</f>
        <v>333 ARCH STREET</v>
      </c>
      <c r="D469" t="str">
        <f>""</f>
        <v/>
      </c>
      <c r="E469" t="str">
        <f>"NEW BRITAIN"</f>
        <v>NEW BRITAIN</v>
      </c>
      <c r="F469" t="str">
        <f t="shared" si="48"/>
        <v>CT</v>
      </c>
      <c r="G469" t="str">
        <f>"06051"</f>
        <v>06051</v>
      </c>
      <c r="H469" t="str">
        <f>"8602259000"</f>
        <v>8602259000</v>
      </c>
      <c r="I469" t="str">
        <f>"ENGLISH;SPANISH;TELUGU"</f>
        <v>ENGLISH;SPANISH;TELUGU</v>
      </c>
    </row>
    <row r="470" spans="1:9" x14ac:dyDescent="0.3">
      <c r="A470" t="str">
        <f>"ST VINCENT'S OUTPATIENT PHARMACY"</f>
        <v>ST VINCENT'S OUTPATIENT PHARMACY</v>
      </c>
      <c r="B470" t="str">
        <f t="shared" si="47"/>
        <v>Pharmacy</v>
      </c>
      <c r="C470" t="str">
        <f>"2800 MAIN ST"</f>
        <v>2800 MAIN ST</v>
      </c>
      <c r="D470" t="str">
        <f>""</f>
        <v/>
      </c>
      <c r="E470" t="str">
        <f>"BRIDGPEORT"</f>
        <v>BRIDGPEORT</v>
      </c>
      <c r="F470" t="str">
        <f t="shared" si="48"/>
        <v>CT</v>
      </c>
      <c r="G470" t="str">
        <f>"06606"</f>
        <v>06606</v>
      </c>
      <c r="H470" t="str">
        <f>"2035765713"</f>
        <v>2035765713</v>
      </c>
      <c r="I470" t="str">
        <f t="shared" ref="I470:I501" si="49">"ENGLISH"</f>
        <v>ENGLISH</v>
      </c>
    </row>
    <row r="471" spans="1:9" x14ac:dyDescent="0.3">
      <c r="A471" t="str">
        <f>"ST. VINCENTS OUTPATIENT PHARMACY"</f>
        <v>ST. VINCENTS OUTPATIENT PHARMACY</v>
      </c>
      <c r="B471" t="str">
        <f t="shared" si="47"/>
        <v>Pharmacy</v>
      </c>
      <c r="C471" t="str">
        <f>"2800 MAIN STREET"</f>
        <v>2800 MAIN STREET</v>
      </c>
      <c r="D471" t="str">
        <f>""</f>
        <v/>
      </c>
      <c r="E471" t="str">
        <f>"BRIDGEPORT"</f>
        <v>BRIDGEPORT</v>
      </c>
      <c r="F471" t="str">
        <f t="shared" si="48"/>
        <v>CT</v>
      </c>
      <c r="G471" t="str">
        <f>"06606"</f>
        <v>06606</v>
      </c>
      <c r="H471" t="str">
        <f>"2035765713"</f>
        <v>2035765713</v>
      </c>
      <c r="I471" t="str">
        <f t="shared" si="49"/>
        <v>ENGLISH</v>
      </c>
    </row>
    <row r="472" spans="1:9" x14ac:dyDescent="0.3">
      <c r="A472" t="str">
        <f>"STAMFORD HEALTH PHARMACY LLC"</f>
        <v>STAMFORD HEALTH PHARMACY LLC</v>
      </c>
      <c r="B472" t="str">
        <f t="shared" si="47"/>
        <v>Pharmacy</v>
      </c>
      <c r="C472" t="str">
        <f>"ONE HOSPITAL PLAZA, SUITE G12"</f>
        <v>ONE HOSPITAL PLAZA, SUITE G12</v>
      </c>
      <c r="D472" t="str">
        <f>""</f>
        <v/>
      </c>
      <c r="E472" t="str">
        <f>"STAMFORD"</f>
        <v>STAMFORD</v>
      </c>
      <c r="F472" t="str">
        <f t="shared" si="48"/>
        <v>CT</v>
      </c>
      <c r="G472" t="str">
        <f>"06902"</f>
        <v>06902</v>
      </c>
      <c r="H472" t="str">
        <f>"2032762350"</f>
        <v>2032762350</v>
      </c>
      <c r="I472" t="str">
        <f t="shared" si="49"/>
        <v>ENGLISH</v>
      </c>
    </row>
    <row r="473" spans="1:9" x14ac:dyDescent="0.3">
      <c r="A473" t="str">
        <f>"STOP &amp;  SHOP PHARMACY # 611"</f>
        <v>STOP &amp;  SHOP PHARMACY # 611</v>
      </c>
      <c r="B473" t="str">
        <f t="shared" si="47"/>
        <v>Pharmacy</v>
      </c>
      <c r="C473" t="str">
        <f>"120 SALMON BROOK STREET"</f>
        <v>120 SALMON BROOK STREET</v>
      </c>
      <c r="D473" t="str">
        <f>"STOP AND SHOP PHARMACY #611"</f>
        <v>STOP AND SHOP PHARMACY #611</v>
      </c>
      <c r="E473" t="str">
        <f>"GRANBY"</f>
        <v>GRANBY</v>
      </c>
      <c r="F473" t="str">
        <f t="shared" si="48"/>
        <v>CT</v>
      </c>
      <c r="G473" t="str">
        <f>"06035"</f>
        <v>06035</v>
      </c>
      <c r="H473" t="str">
        <f>"8608448346"</f>
        <v>8608448346</v>
      </c>
      <c r="I473" t="str">
        <f t="shared" si="49"/>
        <v>ENGLISH</v>
      </c>
    </row>
    <row r="474" spans="1:9" x14ac:dyDescent="0.3">
      <c r="A474" t="str">
        <f>"STOP &amp; SHOP PHARMACY # 2612"</f>
        <v>STOP &amp; SHOP PHARMACY # 2612</v>
      </c>
      <c r="B474" t="str">
        <f t="shared" si="47"/>
        <v>Pharmacy</v>
      </c>
      <c r="C474" t="str">
        <f>"25 RTE 39"</f>
        <v>25 RTE 39</v>
      </c>
      <c r="D474" t="str">
        <f>"STOP &amp; SHOP PHARMACY #2612"</f>
        <v>STOP &amp; SHOP PHARMACY #2612</v>
      </c>
      <c r="E474" t="str">
        <f>"NEW FAIRFIELD"</f>
        <v>NEW FAIRFIELD</v>
      </c>
      <c r="F474" t="str">
        <f t="shared" si="48"/>
        <v>CT</v>
      </c>
      <c r="G474" t="str">
        <f>"06812"</f>
        <v>06812</v>
      </c>
      <c r="H474" t="str">
        <f>"2033129818"</f>
        <v>2033129818</v>
      </c>
      <c r="I474" t="str">
        <f t="shared" si="49"/>
        <v>ENGLISH</v>
      </c>
    </row>
    <row r="475" spans="1:9" x14ac:dyDescent="0.3">
      <c r="A475" t="str">
        <f>"STOP &amp; SHOP PHARMACY # 603"</f>
        <v>STOP &amp; SHOP PHARMACY # 603</v>
      </c>
      <c r="B475" t="str">
        <f t="shared" si="47"/>
        <v>Pharmacy</v>
      </c>
      <c r="C475" t="str">
        <f>"15 FRANKLIN ST"</f>
        <v>15 FRANKLIN ST</v>
      </c>
      <c r="D475" t="str">
        <f>""</f>
        <v/>
      </c>
      <c r="E475" t="str">
        <f>"SEYMOUR"</f>
        <v>SEYMOUR</v>
      </c>
      <c r="F475" t="str">
        <f t="shared" si="48"/>
        <v>CT</v>
      </c>
      <c r="G475" t="str">
        <f>"06483"</f>
        <v>06483</v>
      </c>
      <c r="H475" t="str">
        <f>"2038812756"</f>
        <v>2038812756</v>
      </c>
      <c r="I475" t="str">
        <f t="shared" si="49"/>
        <v>ENGLISH</v>
      </c>
    </row>
    <row r="476" spans="1:9" x14ac:dyDescent="0.3">
      <c r="A476" t="str">
        <f>"STOP &amp; SHOP PHARMACY # 620"</f>
        <v>STOP &amp; SHOP PHARMACY # 620</v>
      </c>
      <c r="B476" t="str">
        <f t="shared" si="47"/>
        <v>Pharmacy</v>
      </c>
      <c r="C476" t="str">
        <f>"100 QUALITY STREET"</f>
        <v>100 QUALITY STREET</v>
      </c>
      <c r="D476" t="str">
        <f>"STOP &amp; SHOP PHARMACY #620"</f>
        <v>STOP &amp; SHOP PHARMACY #620</v>
      </c>
      <c r="E476" t="str">
        <f>"TRUMBULL"</f>
        <v>TRUMBULL</v>
      </c>
      <c r="F476" t="str">
        <f t="shared" si="48"/>
        <v>CT</v>
      </c>
      <c r="G476" t="str">
        <f>"06611"</f>
        <v>06611</v>
      </c>
      <c r="H476" t="str">
        <f>"2032613691"</f>
        <v>2032613691</v>
      </c>
      <c r="I476" t="str">
        <f t="shared" si="49"/>
        <v>ENGLISH</v>
      </c>
    </row>
    <row r="477" spans="1:9" x14ac:dyDescent="0.3">
      <c r="A477" t="str">
        <f>"STOP &amp; SHOP PHARMACY # 624"</f>
        <v>STOP &amp; SHOP PHARMACY # 624</v>
      </c>
      <c r="B477" t="str">
        <f t="shared" si="47"/>
        <v>Pharmacy</v>
      </c>
      <c r="C477" t="str">
        <f>"136 SAMSON ROCK DRIVE"</f>
        <v>136 SAMSON ROCK DRIVE</v>
      </c>
      <c r="D477" t="str">
        <f>"STOP &amp; SHOP PHARMACY # 624"</f>
        <v>STOP &amp; SHOP PHARMACY # 624</v>
      </c>
      <c r="E477" t="str">
        <f>"MADISON"</f>
        <v>MADISON</v>
      </c>
      <c r="F477" t="str">
        <f t="shared" si="48"/>
        <v>CT</v>
      </c>
      <c r="G477" t="str">
        <f>"06443"</f>
        <v>06443</v>
      </c>
      <c r="H477" t="str">
        <f>"2032457467"</f>
        <v>2032457467</v>
      </c>
      <c r="I477" t="str">
        <f t="shared" si="49"/>
        <v>ENGLISH</v>
      </c>
    </row>
    <row r="478" spans="1:9" x14ac:dyDescent="0.3">
      <c r="A478" t="str">
        <f>"STOP &amp; SHOP PHARMACY # 629"</f>
        <v>STOP &amp; SHOP PHARMACY # 629</v>
      </c>
      <c r="B478" t="str">
        <f t="shared" si="47"/>
        <v>Pharmacy</v>
      </c>
      <c r="C478" t="str">
        <f>"898 BRIDGEPORT AVE"</f>
        <v>898 BRIDGEPORT AVE</v>
      </c>
      <c r="D478" t="str">
        <f>""</f>
        <v/>
      </c>
      <c r="E478" t="str">
        <f>"SHELTON"</f>
        <v>SHELTON</v>
      </c>
      <c r="F478" t="str">
        <f t="shared" si="48"/>
        <v>CT</v>
      </c>
      <c r="G478" t="str">
        <f>"06484"</f>
        <v>06484</v>
      </c>
      <c r="H478" t="str">
        <f>"2039293887"</f>
        <v>2039293887</v>
      </c>
      <c r="I478" t="str">
        <f t="shared" si="49"/>
        <v>ENGLISH</v>
      </c>
    </row>
    <row r="479" spans="1:9" x14ac:dyDescent="0.3">
      <c r="A479" t="str">
        <f>"STOP &amp; SHOP PHARMACY # 637"</f>
        <v>STOP &amp; SHOP PHARMACY # 637</v>
      </c>
      <c r="B479" t="str">
        <f t="shared" si="47"/>
        <v>Pharmacy</v>
      </c>
      <c r="C479" t="str">
        <f>"2200 BEDFORD STREET"</f>
        <v>2200 BEDFORD STREET</v>
      </c>
      <c r="D479" t="str">
        <f>""</f>
        <v/>
      </c>
      <c r="E479" t="str">
        <f>"STAMFORD"</f>
        <v>STAMFORD</v>
      </c>
      <c r="F479" t="str">
        <f t="shared" si="48"/>
        <v>CT</v>
      </c>
      <c r="G479" t="str">
        <f>"06905"</f>
        <v>06905</v>
      </c>
      <c r="H479" t="str">
        <f>"2033560126"</f>
        <v>2033560126</v>
      </c>
      <c r="I479" t="str">
        <f t="shared" si="49"/>
        <v>ENGLISH</v>
      </c>
    </row>
    <row r="480" spans="1:9" x14ac:dyDescent="0.3">
      <c r="A480" t="str">
        <f>"STOP &amp; SHOP PHARMACY # 642"</f>
        <v>STOP &amp; SHOP PHARMACY # 642</v>
      </c>
      <c r="B480" t="str">
        <f t="shared" si="47"/>
        <v>Pharmacy</v>
      </c>
      <c r="C480" t="str">
        <f>"747 PINE STREET"</f>
        <v>747 PINE STREET</v>
      </c>
      <c r="D480" t="str">
        <f>"STOP &amp; SHOP PHARMACY # 642"</f>
        <v>STOP &amp; SHOP PHARMACY # 642</v>
      </c>
      <c r="E480" t="str">
        <f>"BRISTOL"</f>
        <v>BRISTOL</v>
      </c>
      <c r="F480" t="str">
        <f t="shared" si="48"/>
        <v>CT</v>
      </c>
      <c r="G480" t="str">
        <f>"06010"</f>
        <v>06010</v>
      </c>
      <c r="H480" t="str">
        <f>"8605839213"</f>
        <v>8605839213</v>
      </c>
      <c r="I480" t="str">
        <f t="shared" si="49"/>
        <v>ENGLISH</v>
      </c>
    </row>
    <row r="481" spans="1:9" x14ac:dyDescent="0.3">
      <c r="A481" t="str">
        <f>"STOP &amp; SHOP PHARMACY # 650"</f>
        <v>STOP &amp; SHOP PHARMACY # 650</v>
      </c>
      <c r="B481" t="str">
        <f t="shared" si="47"/>
        <v>Pharmacy</v>
      </c>
      <c r="C481" t="str">
        <f>"1160 KINGS HIGHWAY CUTOFF"</f>
        <v>1160 KINGS HIGHWAY CUTOFF</v>
      </c>
      <c r="D481" t="str">
        <f>""</f>
        <v/>
      </c>
      <c r="E481" t="str">
        <f>"FAIRFIELD"</f>
        <v>FAIRFIELD</v>
      </c>
      <c r="F481" t="str">
        <f t="shared" si="48"/>
        <v>CT</v>
      </c>
      <c r="G481" t="str">
        <f>"06824"</f>
        <v>06824</v>
      </c>
      <c r="H481" t="str">
        <f>"2032548538"</f>
        <v>2032548538</v>
      </c>
      <c r="I481" t="str">
        <f t="shared" si="49"/>
        <v>ENGLISH</v>
      </c>
    </row>
    <row r="482" spans="1:9" x14ac:dyDescent="0.3">
      <c r="A482" t="str">
        <f>"STOP &amp; SHOP PHARMACY # 654"</f>
        <v>STOP &amp; SHOP PHARMACY # 654</v>
      </c>
      <c r="B482" t="str">
        <f t="shared" si="47"/>
        <v>Pharmacy</v>
      </c>
      <c r="C482" t="str">
        <f>"485 BROAD STREET"</f>
        <v>485 BROAD STREET</v>
      </c>
      <c r="D482" t="str">
        <f>"STOP AND SHOP PHARMACY #654"</f>
        <v>STOP AND SHOP PHARMACY #654</v>
      </c>
      <c r="E482" t="str">
        <f>"MERIDEN"</f>
        <v>MERIDEN</v>
      </c>
      <c r="F482" t="str">
        <f t="shared" si="48"/>
        <v>CT</v>
      </c>
      <c r="G482" t="str">
        <f>"06450"</f>
        <v>06450</v>
      </c>
      <c r="H482" t="str">
        <f>"2032381261"</f>
        <v>2032381261</v>
      </c>
      <c r="I482" t="str">
        <f t="shared" si="49"/>
        <v>ENGLISH</v>
      </c>
    </row>
    <row r="483" spans="1:9" x14ac:dyDescent="0.3">
      <c r="A483" t="str">
        <f>"STOP &amp; SHOP PHARMACY # 657"</f>
        <v>STOP &amp; SHOP PHARMACY # 657</v>
      </c>
      <c r="B483" t="str">
        <f t="shared" si="47"/>
        <v>Pharmacy</v>
      </c>
      <c r="C483" t="str">
        <f>"763 STRAITS TURNPIKE, RTE 63"</f>
        <v>763 STRAITS TURNPIKE, RTE 63</v>
      </c>
      <c r="D483" t="str">
        <f>"STOP &amp; SHOP PHARMACY #657"</f>
        <v>STOP &amp; SHOP PHARMACY #657</v>
      </c>
      <c r="E483" t="str">
        <f>"WATERTOWN"</f>
        <v>WATERTOWN</v>
      </c>
      <c r="F483" t="str">
        <f t="shared" si="48"/>
        <v>CT</v>
      </c>
      <c r="G483" t="str">
        <f>"06795"</f>
        <v>06795</v>
      </c>
      <c r="H483" t="str">
        <f>"8602747461"</f>
        <v>8602747461</v>
      </c>
      <c r="I483" t="str">
        <f t="shared" si="49"/>
        <v>ENGLISH</v>
      </c>
    </row>
    <row r="484" spans="1:9" x14ac:dyDescent="0.3">
      <c r="A484" t="str">
        <f>"STOP &amp; SHOP PHARMACY # 658"</f>
        <v>STOP &amp; SHOP PHARMACY # 658</v>
      </c>
      <c r="B484" t="str">
        <f t="shared" si="47"/>
        <v>Pharmacy</v>
      </c>
      <c r="C484" t="str">
        <f>"5 RIVER ROAD"</f>
        <v>5 RIVER ROAD</v>
      </c>
      <c r="D484" t="str">
        <f>"STOP &amp; SHOP PHARMACY #658"</f>
        <v>STOP &amp; SHOP PHARMACY #658</v>
      </c>
      <c r="E484" t="str">
        <f>"WILTON"</f>
        <v>WILTON</v>
      </c>
      <c r="F484" t="str">
        <f t="shared" si="48"/>
        <v>CT</v>
      </c>
      <c r="G484" t="str">
        <f>"06897"</f>
        <v>06897</v>
      </c>
      <c r="H484" t="str">
        <f>"2038342204"</f>
        <v>2038342204</v>
      </c>
      <c r="I484" t="str">
        <f t="shared" si="49"/>
        <v>ENGLISH</v>
      </c>
    </row>
    <row r="485" spans="1:9" x14ac:dyDescent="0.3">
      <c r="A485" t="str">
        <f>"STOP &amp; SHOP PHARMACY # 662"</f>
        <v>STOP &amp; SHOP PHARMACY # 662</v>
      </c>
      <c r="B485" t="str">
        <f t="shared" si="47"/>
        <v>Pharmacy</v>
      </c>
      <c r="C485" t="str">
        <f>"380 MAIN STREET"</f>
        <v>380 MAIN STREET</v>
      </c>
      <c r="D485" t="str">
        <f>"STOP &amp; SHOP PHARMACY # 662"</f>
        <v>STOP &amp; SHOP PHARMACY # 662</v>
      </c>
      <c r="E485" t="str">
        <f>"NORWALK"</f>
        <v>NORWALK</v>
      </c>
      <c r="F485" t="str">
        <f t="shared" si="48"/>
        <v>CT</v>
      </c>
      <c r="G485" t="str">
        <f>"06850"</f>
        <v>06850</v>
      </c>
      <c r="H485" t="str">
        <f>"2038498735"</f>
        <v>2038498735</v>
      </c>
      <c r="I485" t="str">
        <f t="shared" si="49"/>
        <v>ENGLISH</v>
      </c>
    </row>
    <row r="486" spans="1:9" x14ac:dyDescent="0.3">
      <c r="A486" t="str">
        <f>"STOP &amp; SHOP PHARMACY # 665"</f>
        <v>STOP &amp; SHOP PHARMACY # 665</v>
      </c>
      <c r="B486" t="str">
        <f t="shared" si="47"/>
        <v>Pharmacy</v>
      </c>
      <c r="C486" t="str">
        <f>"248 FLANDERS ROAD"</f>
        <v>248 FLANDERS ROAD</v>
      </c>
      <c r="D486" t="str">
        <f>"STOP &amp; SHOP PHARMACY # 665"</f>
        <v>STOP &amp; SHOP PHARMACY # 665</v>
      </c>
      <c r="E486" t="str">
        <f>"NIANTIC"</f>
        <v>NIANTIC</v>
      </c>
      <c r="F486" t="str">
        <f t="shared" si="48"/>
        <v>CT</v>
      </c>
      <c r="G486" t="str">
        <f>"06357"</f>
        <v>06357</v>
      </c>
      <c r="H486" t="str">
        <f>"8607395957"</f>
        <v>8607395957</v>
      </c>
      <c r="I486" t="str">
        <f t="shared" si="49"/>
        <v>ENGLISH</v>
      </c>
    </row>
    <row r="487" spans="1:9" x14ac:dyDescent="0.3">
      <c r="A487" t="str">
        <f>"STOP &amp; SHOP PHARMACY # 675"</f>
        <v>STOP &amp; SHOP PHARMACY # 675</v>
      </c>
      <c r="B487" t="str">
        <f t="shared" si="47"/>
        <v>Pharmacy</v>
      </c>
      <c r="C487" t="str">
        <f>"943 WOLCOTT STREET"</f>
        <v>943 WOLCOTT STREET</v>
      </c>
      <c r="D487" t="str">
        <f>"STOP AND SHOP PHARMACY 2618"</f>
        <v>STOP AND SHOP PHARMACY 2618</v>
      </c>
      <c r="E487" t="str">
        <f>"WATERBURY"</f>
        <v>WATERBURY</v>
      </c>
      <c r="F487" t="str">
        <f t="shared" si="48"/>
        <v>CT</v>
      </c>
      <c r="G487" t="str">
        <f>"06705"</f>
        <v>06705</v>
      </c>
      <c r="H487" t="str">
        <f>"2037559538"</f>
        <v>2037559538</v>
      </c>
      <c r="I487" t="str">
        <f t="shared" si="49"/>
        <v>ENGLISH</v>
      </c>
    </row>
    <row r="488" spans="1:9" x14ac:dyDescent="0.3">
      <c r="A488" t="str">
        <f>"STOP &amp; SHOP PHARMACY # 684"</f>
        <v>STOP &amp; SHOP PHARMACY # 684</v>
      </c>
      <c r="B488" t="str">
        <f t="shared" si="47"/>
        <v>Pharmacy</v>
      </c>
      <c r="C488" t="str">
        <f>"505 N MAIN ST"</f>
        <v>505 N MAIN ST</v>
      </c>
      <c r="D488" t="str">
        <f>""</f>
        <v/>
      </c>
      <c r="E488" t="str">
        <f>"SOUTHINGTON"</f>
        <v>SOUTHINGTON</v>
      </c>
      <c r="F488" t="str">
        <f t="shared" si="48"/>
        <v>CT</v>
      </c>
      <c r="G488" t="str">
        <f>"06489"</f>
        <v>06489</v>
      </c>
      <c r="H488" t="str">
        <f>"8606209060"</f>
        <v>8606209060</v>
      </c>
      <c r="I488" t="str">
        <f t="shared" si="49"/>
        <v>ENGLISH</v>
      </c>
    </row>
    <row r="489" spans="1:9" x14ac:dyDescent="0.3">
      <c r="A489" t="str">
        <f>"STOP &amp; SHOP PHARMACY # 694"</f>
        <v>STOP &amp; SHOP PHARMACY # 694</v>
      </c>
      <c r="B489" t="str">
        <f t="shared" si="47"/>
        <v>Pharmacy</v>
      </c>
      <c r="C489" t="str">
        <f>"79 WASHINGTON AVENUE"</f>
        <v>79 WASHINGTON AVENUE</v>
      </c>
      <c r="D489" t="str">
        <f>"STOP &amp; SHOP PHARMACY # 694"</f>
        <v>STOP &amp; SHOP PHARMACY # 694</v>
      </c>
      <c r="E489" t="str">
        <f>"NORTH HAVEN"</f>
        <v>NORTH HAVEN</v>
      </c>
      <c r="F489" t="str">
        <f t="shared" si="48"/>
        <v>CT</v>
      </c>
      <c r="G489" t="str">
        <f>"06473"</f>
        <v>06473</v>
      </c>
      <c r="H489" t="str">
        <f>"2032347461"</f>
        <v>2032347461</v>
      </c>
      <c r="I489" t="str">
        <f t="shared" si="49"/>
        <v>ENGLISH</v>
      </c>
    </row>
    <row r="490" spans="1:9" x14ac:dyDescent="0.3">
      <c r="A490" t="str">
        <f>"STOP &amp; SHOP PHARMACY # 695"</f>
        <v>STOP &amp; SHOP PHARMACY # 695</v>
      </c>
      <c r="B490" t="str">
        <f t="shared" si="47"/>
        <v>Pharmacy</v>
      </c>
      <c r="C490" t="str">
        <f>"275 HIGHLAND AVENUE"</f>
        <v>275 HIGHLAND AVENUE</v>
      </c>
      <c r="D490" t="str">
        <f>"STOP &amp; SHOP PHARMACY #695"</f>
        <v>STOP &amp; SHOP PHARMACY #695</v>
      </c>
      <c r="E490" t="str">
        <f>"CHESHIRE"</f>
        <v>CHESHIRE</v>
      </c>
      <c r="F490" t="str">
        <f t="shared" si="48"/>
        <v>CT</v>
      </c>
      <c r="G490" t="str">
        <f>"06410"</f>
        <v>06410</v>
      </c>
      <c r="H490" t="str">
        <f>"2032723697"</f>
        <v>2032723697</v>
      </c>
      <c r="I490" t="str">
        <f t="shared" si="49"/>
        <v>ENGLISH</v>
      </c>
    </row>
    <row r="491" spans="1:9" x14ac:dyDescent="0.3">
      <c r="A491" t="str">
        <f>"STOP &amp; SHOP PHARMACY # 696"</f>
        <v>STOP &amp; SHOP PHARMACY # 696</v>
      </c>
      <c r="B491" t="str">
        <f t="shared" si="47"/>
        <v>Pharmacy</v>
      </c>
      <c r="C491" t="str">
        <f>"460 ELM STREET"</f>
        <v>460 ELM STREET</v>
      </c>
      <c r="D491" t="str">
        <f>""</f>
        <v/>
      </c>
      <c r="E491" t="str">
        <f>"WEST HAVEN"</f>
        <v>WEST HAVEN</v>
      </c>
      <c r="F491" t="str">
        <f t="shared" si="48"/>
        <v>CT</v>
      </c>
      <c r="G491" t="str">
        <f>"06516"</f>
        <v>06516</v>
      </c>
      <c r="H491" t="str">
        <f>"2039319478"</f>
        <v>2039319478</v>
      </c>
      <c r="I491" t="str">
        <f t="shared" si="49"/>
        <v>ENGLISH</v>
      </c>
    </row>
    <row r="492" spans="1:9" x14ac:dyDescent="0.3">
      <c r="A492" t="str">
        <f>"STOP &amp; SHOP PHARMACY #2605"</f>
        <v>STOP &amp; SHOP PHARMACY #2605</v>
      </c>
      <c r="B492" t="str">
        <f t="shared" si="47"/>
        <v>Pharmacy</v>
      </c>
      <c r="C492" t="str">
        <f>"54 HAZARD AVENUE"</f>
        <v>54 HAZARD AVENUE</v>
      </c>
      <c r="D492" t="str">
        <f>""</f>
        <v/>
      </c>
      <c r="E492" t="str">
        <f>"ENFIELD"</f>
        <v>ENFIELD</v>
      </c>
      <c r="F492" t="str">
        <f t="shared" si="48"/>
        <v>CT</v>
      </c>
      <c r="G492" t="str">
        <f>"06082"</f>
        <v>06082</v>
      </c>
      <c r="H492" t="str">
        <f>"8607412230"</f>
        <v>8607412230</v>
      </c>
      <c r="I492" t="str">
        <f t="shared" si="49"/>
        <v>ENGLISH</v>
      </c>
    </row>
    <row r="493" spans="1:9" x14ac:dyDescent="0.3">
      <c r="A493" t="str">
        <f>"STOP &amp; SHOP PHARMACY #2611"</f>
        <v>STOP &amp; SHOP PHARMACY #2611</v>
      </c>
      <c r="B493" t="str">
        <f t="shared" si="47"/>
        <v>Pharmacy</v>
      </c>
      <c r="C493" t="str">
        <f>"11 EAST HIGH STREET"</f>
        <v>11 EAST HIGH STREET</v>
      </c>
      <c r="D493" t="str">
        <f>""</f>
        <v/>
      </c>
      <c r="E493" t="str">
        <f>"EAST HAMPTON"</f>
        <v>EAST HAMPTON</v>
      </c>
      <c r="F493" t="str">
        <f t="shared" si="48"/>
        <v>CT</v>
      </c>
      <c r="G493" t="str">
        <f>"06424"</f>
        <v>06424</v>
      </c>
      <c r="H493" t="str">
        <f>"8602672771"</f>
        <v>8602672771</v>
      </c>
      <c r="I493" t="str">
        <f t="shared" si="49"/>
        <v>ENGLISH</v>
      </c>
    </row>
    <row r="494" spans="1:9" x14ac:dyDescent="0.3">
      <c r="A494" t="str">
        <f>"STOP &amp; SHOP PHARMACY #2613"</f>
        <v>STOP &amp; SHOP PHARMACY #2613</v>
      </c>
      <c r="B494" t="str">
        <f t="shared" si="47"/>
        <v>Pharmacy</v>
      </c>
      <c r="C494" t="str">
        <f>"206 KITTS LANE"</f>
        <v>206 KITTS LANE</v>
      </c>
      <c r="D494" t="str">
        <f>""</f>
        <v/>
      </c>
      <c r="E494" t="str">
        <f>"NEWINGTON"</f>
        <v>NEWINGTON</v>
      </c>
      <c r="F494" t="str">
        <f t="shared" si="48"/>
        <v>CT</v>
      </c>
      <c r="G494" t="str">
        <f>"06111"</f>
        <v>06111</v>
      </c>
      <c r="H494" t="str">
        <f>"8605947123"</f>
        <v>8605947123</v>
      </c>
      <c r="I494" t="str">
        <f t="shared" si="49"/>
        <v>ENGLISH</v>
      </c>
    </row>
    <row r="495" spans="1:9" x14ac:dyDescent="0.3">
      <c r="A495" t="str">
        <f>"STOP &amp; SHOP PHARMACY #2614"</f>
        <v>STOP &amp; SHOP PHARMACY #2614</v>
      </c>
      <c r="B495" t="str">
        <f t="shared" si="47"/>
        <v>Pharmacy</v>
      </c>
      <c r="C495" t="str">
        <f>"50 WINDSORVILLE ROAD"</f>
        <v>50 WINDSORVILLE ROAD</v>
      </c>
      <c r="D495" t="str">
        <f>""</f>
        <v/>
      </c>
      <c r="E495" t="str">
        <f>"VERNON"</f>
        <v>VERNON</v>
      </c>
      <c r="F495" t="str">
        <f t="shared" si="48"/>
        <v>CT</v>
      </c>
      <c r="G495" t="str">
        <f>"06066"</f>
        <v>06066</v>
      </c>
      <c r="H495" t="str">
        <f>"8608706255"</f>
        <v>8608706255</v>
      </c>
      <c r="I495" t="str">
        <f t="shared" si="49"/>
        <v>ENGLISH</v>
      </c>
    </row>
    <row r="496" spans="1:9" x14ac:dyDescent="0.3">
      <c r="A496" t="str">
        <f>"STOP &amp; SHOP PHARMACY #600"</f>
        <v>STOP &amp; SHOP PHARMACY #600</v>
      </c>
      <c r="B496" t="str">
        <f t="shared" si="47"/>
        <v>Pharmacy</v>
      </c>
      <c r="C496" t="str">
        <f>"2335 DIXWELL AVE"</f>
        <v>2335 DIXWELL AVE</v>
      </c>
      <c r="D496" t="str">
        <f>""</f>
        <v/>
      </c>
      <c r="E496" t="str">
        <f>"HAMDEN"</f>
        <v>HAMDEN</v>
      </c>
      <c r="F496" t="str">
        <f t="shared" si="48"/>
        <v>CT</v>
      </c>
      <c r="G496" t="str">
        <f>"06514"</f>
        <v>06514</v>
      </c>
      <c r="H496" t="str">
        <f>"2032489631"</f>
        <v>2032489631</v>
      </c>
      <c r="I496" t="str">
        <f t="shared" si="49"/>
        <v>ENGLISH</v>
      </c>
    </row>
    <row r="497" spans="1:9" x14ac:dyDescent="0.3">
      <c r="A497" t="str">
        <f>"STOP &amp; SHOP PHARMACY #604"</f>
        <v>STOP &amp; SHOP PHARMACY #604</v>
      </c>
      <c r="B497" t="str">
        <f t="shared" si="47"/>
        <v>Pharmacy</v>
      </c>
      <c r="C497" t="str">
        <f>"727 RUBBER AVENUE"</f>
        <v>727 RUBBER AVENUE</v>
      </c>
      <c r="D497" t="str">
        <f>"MT VIEW PLAZA"</f>
        <v>MT VIEW PLAZA</v>
      </c>
      <c r="E497" t="str">
        <f>"NAUGATUCK"</f>
        <v>NAUGATUCK</v>
      </c>
      <c r="F497" t="str">
        <f t="shared" si="48"/>
        <v>CT</v>
      </c>
      <c r="G497" t="str">
        <f>"06770"</f>
        <v>06770</v>
      </c>
      <c r="H497" t="str">
        <f>"2037236939"</f>
        <v>2037236939</v>
      </c>
      <c r="I497" t="str">
        <f t="shared" si="49"/>
        <v>ENGLISH</v>
      </c>
    </row>
    <row r="498" spans="1:9" x14ac:dyDescent="0.3">
      <c r="A498" t="str">
        <f>"STOP &amp; SHOP PHARMACY #605"</f>
        <v>STOP &amp; SHOP PHARMACY #605</v>
      </c>
      <c r="B498" t="str">
        <f t="shared" si="47"/>
        <v>Pharmacy</v>
      </c>
      <c r="C498" t="str">
        <f>"55 OAK STREET"</f>
        <v>55 OAK STREET</v>
      </c>
      <c r="D498" t="str">
        <f>"STOP &amp; SHOP PHARMACY #605"</f>
        <v>STOP &amp; SHOP PHARMACY #605</v>
      </c>
      <c r="E498" t="str">
        <f>"GLASTONBURY"</f>
        <v>GLASTONBURY</v>
      </c>
      <c r="F498" t="str">
        <f t="shared" si="48"/>
        <v>CT</v>
      </c>
      <c r="G498" t="str">
        <f>"06033"</f>
        <v>06033</v>
      </c>
      <c r="H498" t="str">
        <f>"8606529208"</f>
        <v>8606529208</v>
      </c>
      <c r="I498" t="str">
        <f t="shared" si="49"/>
        <v>ENGLISH</v>
      </c>
    </row>
    <row r="499" spans="1:9" x14ac:dyDescent="0.3">
      <c r="A499" t="str">
        <f>"STOP &amp; SHOP PHARMACY #606"</f>
        <v>STOP &amp; SHOP PHARMACY #606</v>
      </c>
      <c r="B499" t="str">
        <f t="shared" si="47"/>
        <v>Pharmacy</v>
      </c>
      <c r="C499" t="str">
        <f>"35 SHUNPIKE ROAD"</f>
        <v>35 SHUNPIKE ROAD</v>
      </c>
      <c r="D499" t="str">
        <f>""</f>
        <v/>
      </c>
      <c r="E499" t="str">
        <f>"CROMWELL"</f>
        <v>CROMWELL</v>
      </c>
      <c r="F499" t="str">
        <f t="shared" ref="F499:F530" si="50">"CT"</f>
        <v>CT</v>
      </c>
      <c r="G499" t="str">
        <f>"06416"</f>
        <v>06416</v>
      </c>
      <c r="H499" t="str">
        <f>"8606356303"</f>
        <v>8606356303</v>
      </c>
      <c r="I499" t="str">
        <f t="shared" si="49"/>
        <v>ENGLISH</v>
      </c>
    </row>
    <row r="500" spans="1:9" x14ac:dyDescent="0.3">
      <c r="A500" t="str">
        <f>"STOP &amp; SHOP PHARMACY #607"</f>
        <v>STOP &amp; SHOP PHARMACY #607</v>
      </c>
      <c r="B500" t="str">
        <f t="shared" si="47"/>
        <v>Pharmacy</v>
      </c>
      <c r="C500" t="str">
        <f>"498 BUSHY HILL RD"</f>
        <v>498 BUSHY HILL RD</v>
      </c>
      <c r="D500" t="str">
        <f>""</f>
        <v/>
      </c>
      <c r="E500" t="str">
        <f>"SIMSBURY"</f>
        <v>SIMSBURY</v>
      </c>
      <c r="F500" t="str">
        <f t="shared" si="50"/>
        <v>CT</v>
      </c>
      <c r="G500" t="str">
        <f>"06070"</f>
        <v>06070</v>
      </c>
      <c r="H500" t="str">
        <f>"8606519843"</f>
        <v>8606519843</v>
      </c>
      <c r="I500" t="str">
        <f t="shared" si="49"/>
        <v>ENGLISH</v>
      </c>
    </row>
    <row r="501" spans="1:9" x14ac:dyDescent="0.3">
      <c r="A501" t="str">
        <f>"STOP &amp; SHOP PHARMACY #608"</f>
        <v>STOP &amp; SHOP PHARMACY #608</v>
      </c>
      <c r="B501" t="str">
        <f t="shared" si="47"/>
        <v>Pharmacy</v>
      </c>
      <c r="C501" t="str">
        <f>"99 LINWOOD AVENUE"</f>
        <v>99 LINWOOD AVENUE</v>
      </c>
      <c r="D501" t="str">
        <f>""</f>
        <v/>
      </c>
      <c r="E501" t="str">
        <f>"COLCHESTER"</f>
        <v>COLCHESTER</v>
      </c>
      <c r="F501" t="str">
        <f t="shared" si="50"/>
        <v>CT</v>
      </c>
      <c r="G501" t="str">
        <f>"06415"</f>
        <v>06415</v>
      </c>
      <c r="H501" t="str">
        <f>"8605372570"</f>
        <v>8605372570</v>
      </c>
      <c r="I501" t="str">
        <f t="shared" si="49"/>
        <v>ENGLISH</v>
      </c>
    </row>
    <row r="502" spans="1:9" x14ac:dyDescent="0.3">
      <c r="A502" t="str">
        <f>"STOP &amp; SHOP PHARMACY #610"</f>
        <v>STOP &amp; SHOP PHARMACY #610</v>
      </c>
      <c r="B502" t="str">
        <f t="shared" si="47"/>
        <v>Pharmacy</v>
      </c>
      <c r="C502" t="str">
        <f>"1380 BERLIN TURNPIKE"</f>
        <v>1380 BERLIN TURNPIKE</v>
      </c>
      <c r="D502" t="str">
        <f>""</f>
        <v/>
      </c>
      <c r="E502" t="str">
        <f>"WETHERSFIELD"</f>
        <v>WETHERSFIELD</v>
      </c>
      <c r="F502" t="str">
        <f t="shared" si="50"/>
        <v>CT</v>
      </c>
      <c r="G502" t="str">
        <f>"06109"</f>
        <v>06109</v>
      </c>
      <c r="H502" t="str">
        <f>"8609563740"</f>
        <v>8609563740</v>
      </c>
      <c r="I502" t="str">
        <f t="shared" ref="I502:I536" si="51">"ENGLISH"</f>
        <v>ENGLISH</v>
      </c>
    </row>
    <row r="503" spans="1:9" x14ac:dyDescent="0.3">
      <c r="A503" t="str">
        <f>"STOP &amp; SHOP PHARMACY #613"</f>
        <v>STOP &amp; SHOP PHARMACY #613</v>
      </c>
      <c r="B503" t="str">
        <f t="shared" si="47"/>
        <v>Pharmacy</v>
      </c>
      <c r="C503" t="str">
        <f>"10 PITKIN ROAD"</f>
        <v>10 PITKIN ROAD</v>
      </c>
      <c r="D503" t="str">
        <f>""</f>
        <v/>
      </c>
      <c r="E503" t="str">
        <f>"VERNON"</f>
        <v>VERNON</v>
      </c>
      <c r="F503" t="str">
        <f t="shared" si="50"/>
        <v>CT</v>
      </c>
      <c r="G503" t="str">
        <f>"06066"</f>
        <v>06066</v>
      </c>
      <c r="H503" t="str">
        <f>"8608711053"</f>
        <v>8608711053</v>
      </c>
      <c r="I503" t="str">
        <f t="shared" si="51"/>
        <v>ENGLISH</v>
      </c>
    </row>
    <row r="504" spans="1:9" x14ac:dyDescent="0.3">
      <c r="A504" t="str">
        <f>"STOP &amp; SHOP PHARMACY #614"</f>
        <v>STOP &amp; SHOP PHARMACY #614</v>
      </c>
      <c r="B504" t="str">
        <f t="shared" si="47"/>
        <v>Pharmacy</v>
      </c>
      <c r="C504" t="str">
        <f>"1135 FARMINGTON AVE"</f>
        <v>1135 FARMINGTON AVE</v>
      </c>
      <c r="D504" t="str">
        <f>""</f>
        <v/>
      </c>
      <c r="E504" t="str">
        <f>"BERLIN"</f>
        <v>BERLIN</v>
      </c>
      <c r="F504" t="str">
        <f t="shared" si="50"/>
        <v>CT</v>
      </c>
      <c r="G504" t="str">
        <f>"06037"</f>
        <v>06037</v>
      </c>
      <c r="H504" t="str">
        <f>"8608280772"</f>
        <v>8608280772</v>
      </c>
      <c r="I504" t="str">
        <f t="shared" si="51"/>
        <v>ENGLISH</v>
      </c>
    </row>
    <row r="505" spans="1:9" x14ac:dyDescent="0.3">
      <c r="A505" t="str">
        <f>"STOP &amp; SHOP PHARMACY #615"</f>
        <v>STOP &amp; SHOP PHARMACY #615</v>
      </c>
      <c r="B505" t="str">
        <f t="shared" si="47"/>
        <v>Pharmacy</v>
      </c>
      <c r="C505" t="str">
        <f>"42 TOWN STREET"</f>
        <v>42 TOWN STREET</v>
      </c>
      <c r="D505" t="str">
        <f>""</f>
        <v/>
      </c>
      <c r="E505" t="str">
        <f>"NORWICH"</f>
        <v>NORWICH</v>
      </c>
      <c r="F505" t="str">
        <f t="shared" si="50"/>
        <v>CT</v>
      </c>
      <c r="G505" t="str">
        <f>"06360"</f>
        <v>06360</v>
      </c>
      <c r="H505" t="str">
        <f>"8608871615"</f>
        <v>8608871615</v>
      </c>
      <c r="I505" t="str">
        <f t="shared" si="51"/>
        <v>ENGLISH</v>
      </c>
    </row>
    <row r="506" spans="1:9" x14ac:dyDescent="0.3">
      <c r="A506" t="str">
        <f>"STOP &amp; SHOP PHARMACY #618"</f>
        <v>STOP &amp; SHOP PHARMACY #618</v>
      </c>
      <c r="B506" t="str">
        <f t="shared" si="47"/>
        <v>Pharmacy</v>
      </c>
      <c r="C506" t="str">
        <f>"410 REIDVILLE DR"</f>
        <v>410 REIDVILLE DR</v>
      </c>
      <c r="D506" t="str">
        <f>""</f>
        <v/>
      </c>
      <c r="E506" t="str">
        <f>"WATERBURY"</f>
        <v>WATERBURY</v>
      </c>
      <c r="F506" t="str">
        <f t="shared" si="50"/>
        <v>CT</v>
      </c>
      <c r="G506" t="str">
        <f>"06705"</f>
        <v>06705</v>
      </c>
      <c r="H506" t="str">
        <f>"2037555814"</f>
        <v>2037555814</v>
      </c>
      <c r="I506" t="str">
        <f t="shared" si="51"/>
        <v>ENGLISH</v>
      </c>
    </row>
    <row r="507" spans="1:9" x14ac:dyDescent="0.3">
      <c r="A507" t="str">
        <f>"STOP &amp; SHOP PHARMACY #619"</f>
        <v>STOP &amp; SHOP PHARMACY #619</v>
      </c>
      <c r="B507" t="str">
        <f t="shared" si="47"/>
        <v>Pharmacy</v>
      </c>
      <c r="C507" t="str">
        <f>"1095 KENNEDY ROAD"</f>
        <v>1095 KENNEDY ROAD</v>
      </c>
      <c r="D507" t="str">
        <f>""</f>
        <v/>
      </c>
      <c r="E507" t="str">
        <f>"WINDSOR"</f>
        <v>WINDSOR</v>
      </c>
      <c r="F507" t="str">
        <f t="shared" si="50"/>
        <v>CT</v>
      </c>
      <c r="G507" t="str">
        <f>"06095"</f>
        <v>06095</v>
      </c>
      <c r="H507" t="str">
        <f>"8606881744"</f>
        <v>8606881744</v>
      </c>
      <c r="I507" t="str">
        <f t="shared" si="51"/>
        <v>ENGLISH</v>
      </c>
    </row>
    <row r="508" spans="1:9" x14ac:dyDescent="0.3">
      <c r="A508" t="str">
        <f>"STOP &amp; SHOP PHARMACY #621"</f>
        <v>STOP &amp; SHOP PHARMACY #621</v>
      </c>
      <c r="B508" t="str">
        <f t="shared" si="47"/>
        <v>Pharmacy</v>
      </c>
      <c r="C508" t="str">
        <f>"100 MAIN STREET NORTH"</f>
        <v>100 MAIN STREET NORTH</v>
      </c>
      <c r="D508" t="str">
        <f>""</f>
        <v/>
      </c>
      <c r="E508" t="str">
        <f>"SOUTHBURY"</f>
        <v>SOUTHBURY</v>
      </c>
      <c r="F508" t="str">
        <f t="shared" si="50"/>
        <v>CT</v>
      </c>
      <c r="G508" t="str">
        <f>"06488"</f>
        <v>06488</v>
      </c>
      <c r="H508" t="str">
        <f>"2032624559"</f>
        <v>2032624559</v>
      </c>
      <c r="I508" t="str">
        <f t="shared" si="51"/>
        <v>ENGLISH</v>
      </c>
    </row>
    <row r="509" spans="1:9" x14ac:dyDescent="0.3">
      <c r="A509" t="str">
        <f>"STOP &amp; SHOP PHARMACY #623"</f>
        <v>STOP &amp; SHOP PHARMACY #623</v>
      </c>
      <c r="B509" t="str">
        <f t="shared" si="47"/>
        <v>Pharmacy</v>
      </c>
      <c r="C509" t="str">
        <f>"416 EAST MAIN STREET"</f>
        <v>416 EAST MAIN STREET</v>
      </c>
      <c r="D509" t="str">
        <f>""</f>
        <v/>
      </c>
      <c r="E509" t="str">
        <f>"MIDDLETOWN"</f>
        <v>MIDDLETOWN</v>
      </c>
      <c r="F509" t="str">
        <f t="shared" si="50"/>
        <v>CT</v>
      </c>
      <c r="G509" t="str">
        <f>"06457"</f>
        <v>06457</v>
      </c>
      <c r="H509" t="str">
        <f>"8603461779"</f>
        <v>8603461779</v>
      </c>
      <c r="I509" t="str">
        <f t="shared" si="51"/>
        <v>ENGLISH</v>
      </c>
    </row>
    <row r="510" spans="1:9" x14ac:dyDescent="0.3">
      <c r="A510" t="str">
        <f>"STOP &amp; SHOP PHARMACY #625"</f>
        <v>STOP &amp; SHOP PHARMACY #625</v>
      </c>
      <c r="B510" t="str">
        <f t="shared" si="47"/>
        <v>Pharmacy</v>
      </c>
      <c r="C510" t="str">
        <f>"200 NEW HARTFORD RD"</f>
        <v>200 NEW HARTFORD RD</v>
      </c>
      <c r="D510" t="str">
        <f>""</f>
        <v/>
      </c>
      <c r="E510" t="str">
        <f>"WINSTED"</f>
        <v>WINSTED</v>
      </c>
      <c r="F510" t="str">
        <f t="shared" si="50"/>
        <v>CT</v>
      </c>
      <c r="G510" t="str">
        <f>"06098"</f>
        <v>06098</v>
      </c>
      <c r="H510" t="str">
        <f>"8607382707"</f>
        <v>8607382707</v>
      </c>
      <c r="I510" t="str">
        <f t="shared" si="51"/>
        <v>ENGLISH</v>
      </c>
    </row>
    <row r="511" spans="1:9" x14ac:dyDescent="0.3">
      <c r="A511" t="str">
        <f>"STOP &amp; SHOP PHARMACY #628"</f>
        <v>STOP &amp; SHOP PHARMACY #628</v>
      </c>
      <c r="B511" t="str">
        <f t="shared" si="47"/>
        <v>Pharmacy</v>
      </c>
      <c r="C511" t="str">
        <f>"597 FARMINGTON AVENUE"</f>
        <v>597 FARMINGTON AVENUE</v>
      </c>
      <c r="D511" t="str">
        <f>""</f>
        <v/>
      </c>
      <c r="E511" t="str">
        <f>"BRISTOL"</f>
        <v>BRISTOL</v>
      </c>
      <c r="F511" t="str">
        <f t="shared" si="50"/>
        <v>CT</v>
      </c>
      <c r="G511" t="str">
        <f>"06010"</f>
        <v>06010</v>
      </c>
      <c r="H511" t="str">
        <f>"8605824080"</f>
        <v>8605824080</v>
      </c>
      <c r="I511" t="str">
        <f t="shared" si="51"/>
        <v>ENGLISH</v>
      </c>
    </row>
    <row r="512" spans="1:9" x14ac:dyDescent="0.3">
      <c r="A512" t="str">
        <f>"STOP &amp; SHOP PHARMACY #630"</f>
        <v>STOP &amp; SHOP PHARMACY #630</v>
      </c>
      <c r="B512" t="str">
        <f t="shared" si="47"/>
        <v>Pharmacy</v>
      </c>
      <c r="C512" t="str">
        <f>"44 FENN ROAD"</f>
        <v>44 FENN ROAD</v>
      </c>
      <c r="D512" t="str">
        <f>""</f>
        <v/>
      </c>
      <c r="E512" t="str">
        <f>"NEWINGTON"</f>
        <v>NEWINGTON</v>
      </c>
      <c r="F512" t="str">
        <f t="shared" si="50"/>
        <v>CT</v>
      </c>
      <c r="G512" t="str">
        <f>"06111"</f>
        <v>06111</v>
      </c>
      <c r="H512" t="str">
        <f>"8606679292"</f>
        <v>8606679292</v>
      </c>
      <c r="I512" t="str">
        <f t="shared" si="51"/>
        <v>ENGLISH</v>
      </c>
    </row>
    <row r="513" spans="1:9" x14ac:dyDescent="0.3">
      <c r="A513" t="str">
        <f>"STOP &amp; SHOP PHARMACY #631"</f>
        <v>STOP &amp; SHOP PHARMACY #631</v>
      </c>
      <c r="B513" t="str">
        <f t="shared" si="47"/>
        <v>Pharmacy</v>
      </c>
      <c r="C513" t="str">
        <f>"215 GLASTONBURY BLVD"</f>
        <v>215 GLASTONBURY BLVD</v>
      </c>
      <c r="D513" t="str">
        <f>""</f>
        <v/>
      </c>
      <c r="E513" t="str">
        <f>"GLASTONBURY"</f>
        <v>GLASTONBURY</v>
      </c>
      <c r="F513" t="str">
        <f t="shared" si="50"/>
        <v>CT</v>
      </c>
      <c r="G513" t="str">
        <f>"06033"</f>
        <v>06033</v>
      </c>
      <c r="H513" t="str">
        <f>"8606595844"</f>
        <v>8606595844</v>
      </c>
      <c r="I513" t="str">
        <f t="shared" si="51"/>
        <v>ENGLISH</v>
      </c>
    </row>
    <row r="514" spans="1:9" x14ac:dyDescent="0.3">
      <c r="A514" t="str">
        <f>"STOP &amp; SHOP PHARMACY #632"</f>
        <v>STOP &amp; SHOP PHARMACY #632</v>
      </c>
      <c r="B514" t="str">
        <f t="shared" ref="B514:B577" si="52">"Pharmacy"</f>
        <v>Pharmacy</v>
      </c>
      <c r="C514" t="str">
        <f>"80 TOWN LINE ROAD"</f>
        <v>80 TOWN LINE ROAD</v>
      </c>
      <c r="D514" t="str">
        <f>""</f>
        <v/>
      </c>
      <c r="E514" t="str">
        <f>"ROCKY HILL"</f>
        <v>ROCKY HILL</v>
      </c>
      <c r="F514" t="str">
        <f t="shared" si="50"/>
        <v>CT</v>
      </c>
      <c r="G514" t="str">
        <f>"06067"</f>
        <v>06067</v>
      </c>
      <c r="H514" t="str">
        <f>"8605634462"</f>
        <v>8605634462</v>
      </c>
      <c r="I514" t="str">
        <f t="shared" si="51"/>
        <v>ENGLISH</v>
      </c>
    </row>
    <row r="515" spans="1:9" x14ac:dyDescent="0.3">
      <c r="A515" t="str">
        <f>"STOP &amp; SHOP PHARMACY #634"</f>
        <v>STOP &amp; SHOP PHARMACY #634</v>
      </c>
      <c r="B515" t="str">
        <f t="shared" si="52"/>
        <v>Pharmacy</v>
      </c>
      <c r="C515" t="str">
        <f>"150 NEW PARK AVENUE"</f>
        <v>150 NEW PARK AVENUE</v>
      </c>
      <c r="D515" t="str">
        <f>""</f>
        <v/>
      </c>
      <c r="E515" t="str">
        <f>"HARTFORD"</f>
        <v>HARTFORD</v>
      </c>
      <c r="F515" t="str">
        <f t="shared" si="50"/>
        <v>CT</v>
      </c>
      <c r="G515" t="str">
        <f>"06106"</f>
        <v>06106</v>
      </c>
      <c r="H515" t="str">
        <f>"8602328848"</f>
        <v>8602328848</v>
      </c>
      <c r="I515" t="str">
        <f t="shared" si="51"/>
        <v>ENGLISH</v>
      </c>
    </row>
    <row r="516" spans="1:9" x14ac:dyDescent="0.3">
      <c r="A516" t="str">
        <f>"STOP &amp; SHOP PHARMACY #636"</f>
        <v>STOP &amp; SHOP PHARMACY #636</v>
      </c>
      <c r="B516" t="str">
        <f t="shared" si="52"/>
        <v>Pharmacy</v>
      </c>
      <c r="C516" t="str">
        <f>"228 SOUTH MAIN STREET"</f>
        <v>228 SOUTH MAIN STREET</v>
      </c>
      <c r="D516" t="str">
        <f>""</f>
        <v/>
      </c>
      <c r="E516" t="str">
        <f>"NEWTOWN"</f>
        <v>NEWTOWN</v>
      </c>
      <c r="F516" t="str">
        <f t="shared" si="50"/>
        <v>CT</v>
      </c>
      <c r="G516" t="str">
        <f>"06470"</f>
        <v>06470</v>
      </c>
      <c r="H516" t="str">
        <f>"2032700827"</f>
        <v>2032700827</v>
      </c>
      <c r="I516" t="str">
        <f t="shared" si="51"/>
        <v>ENGLISH</v>
      </c>
    </row>
    <row r="517" spans="1:9" x14ac:dyDescent="0.3">
      <c r="A517" t="str">
        <f>"STOP &amp; SHOP PHARMACY #638"</f>
        <v>STOP &amp; SHOP PHARMACY #638</v>
      </c>
      <c r="B517" t="str">
        <f t="shared" si="52"/>
        <v>Pharmacy</v>
      </c>
      <c r="C517" t="str">
        <f>"930 NORTH COLONY ROAD"</f>
        <v>930 NORTH COLONY ROAD</v>
      </c>
      <c r="D517" t="str">
        <f>""</f>
        <v/>
      </c>
      <c r="E517" t="str">
        <f>"WALLINGFORD"</f>
        <v>WALLINGFORD</v>
      </c>
      <c r="F517" t="str">
        <f t="shared" si="50"/>
        <v>CT</v>
      </c>
      <c r="G517" t="str">
        <f>"06492"</f>
        <v>06492</v>
      </c>
      <c r="H517" t="str">
        <f>"2032653942"</f>
        <v>2032653942</v>
      </c>
      <c r="I517" t="str">
        <f t="shared" si="51"/>
        <v>ENGLISH</v>
      </c>
    </row>
    <row r="518" spans="1:9" x14ac:dyDescent="0.3">
      <c r="A518" t="str">
        <f>"STOP &amp; SHOP PHARMACY #639"</f>
        <v>STOP &amp; SHOP PHARMACY #639</v>
      </c>
      <c r="B518" t="str">
        <f t="shared" si="52"/>
        <v>Pharmacy</v>
      </c>
      <c r="C518" t="str">
        <f>"200 EAST MAIN STREET"</f>
        <v>200 EAST MAIN STREET</v>
      </c>
      <c r="D518" t="str">
        <f>""</f>
        <v/>
      </c>
      <c r="E518" t="str">
        <f>"STRATFORD"</f>
        <v>STRATFORD</v>
      </c>
      <c r="F518" t="str">
        <f t="shared" si="50"/>
        <v>CT</v>
      </c>
      <c r="G518" t="str">
        <f>"06614"</f>
        <v>06614</v>
      </c>
      <c r="H518" t="str">
        <f>"2033755717"</f>
        <v>2033755717</v>
      </c>
      <c r="I518" t="str">
        <f t="shared" si="51"/>
        <v>ENGLISH</v>
      </c>
    </row>
    <row r="519" spans="1:9" x14ac:dyDescent="0.3">
      <c r="A519" t="str">
        <f>"STOP &amp; SHOP PHARMACY #644"</f>
        <v>STOP &amp; SHOP PHARMACY #644</v>
      </c>
      <c r="B519" t="str">
        <f t="shared" si="52"/>
        <v>Pharmacy</v>
      </c>
      <c r="C519" t="str">
        <f>"44 LAKE AVENUE EXT"</f>
        <v>44 LAKE AVENUE EXT</v>
      </c>
      <c r="D519" t="str">
        <f>""</f>
        <v/>
      </c>
      <c r="E519" t="str">
        <f>"DANBURY"</f>
        <v>DANBURY</v>
      </c>
      <c r="F519" t="str">
        <f t="shared" si="50"/>
        <v>CT</v>
      </c>
      <c r="G519" t="str">
        <f>"06811"</f>
        <v>06811</v>
      </c>
      <c r="H519" t="str">
        <f>"2037978476"</f>
        <v>2037978476</v>
      </c>
      <c r="I519" t="str">
        <f t="shared" si="51"/>
        <v>ENGLISH</v>
      </c>
    </row>
    <row r="520" spans="1:9" x14ac:dyDescent="0.3">
      <c r="A520" t="str">
        <f>"STOP &amp; SHOP PHARMACY #645"</f>
        <v>STOP &amp; SHOP PHARMACY #645</v>
      </c>
      <c r="B520" t="str">
        <f t="shared" si="52"/>
        <v>Pharmacy</v>
      </c>
      <c r="C520" t="str">
        <f>"1309 CORBIN AVE"</f>
        <v>1309 CORBIN AVE</v>
      </c>
      <c r="D520" t="str">
        <f>"STOP &amp; SHOP PHARMACY #645"</f>
        <v>STOP &amp; SHOP PHARMACY #645</v>
      </c>
      <c r="E520" t="str">
        <f>"NEW BRITAIN"</f>
        <v>NEW BRITAIN</v>
      </c>
      <c r="F520" t="str">
        <f t="shared" si="50"/>
        <v>CT</v>
      </c>
      <c r="G520" t="str">
        <f>"06053"</f>
        <v>06053</v>
      </c>
      <c r="H520" t="str">
        <f>"8603489830"</f>
        <v>8603489830</v>
      </c>
      <c r="I520" t="str">
        <f t="shared" si="51"/>
        <v>ENGLISH</v>
      </c>
    </row>
    <row r="521" spans="1:9" x14ac:dyDescent="0.3">
      <c r="A521" t="str">
        <f>"STOP &amp; SHOP PHARMACY #648"</f>
        <v>STOP &amp; SHOP PHARMACY #648</v>
      </c>
      <c r="B521" t="str">
        <f t="shared" si="52"/>
        <v>Pharmacy</v>
      </c>
      <c r="C521" t="str">
        <f>"112 AMITY ROAD"</f>
        <v>112 AMITY ROAD</v>
      </c>
      <c r="D521" t="str">
        <f>"AMITY PLAZA"</f>
        <v>AMITY PLAZA</v>
      </c>
      <c r="E521" t="str">
        <f>"NEW HAVEN"</f>
        <v>NEW HAVEN</v>
      </c>
      <c r="F521" t="str">
        <f t="shared" si="50"/>
        <v>CT</v>
      </c>
      <c r="G521" t="str">
        <f>"06515"</f>
        <v>06515</v>
      </c>
      <c r="H521" t="str">
        <f>"2033898863"</f>
        <v>2033898863</v>
      </c>
      <c r="I521" t="str">
        <f t="shared" si="51"/>
        <v>ENGLISH</v>
      </c>
    </row>
    <row r="522" spans="1:9" x14ac:dyDescent="0.3">
      <c r="A522" t="str">
        <f>"STOP &amp; SHOP PHARMACY #652"</f>
        <v>STOP &amp; SHOP PHARMACY #652</v>
      </c>
      <c r="B522" t="str">
        <f t="shared" si="52"/>
        <v>Pharmacy</v>
      </c>
      <c r="C522" t="str">
        <f>"215 E MAIN STREET"</f>
        <v>215 E MAIN STREET</v>
      </c>
      <c r="D522" t="str">
        <f>""</f>
        <v/>
      </c>
      <c r="E522" t="str">
        <f>"CLINTON"</f>
        <v>CLINTON</v>
      </c>
      <c r="F522" t="str">
        <f t="shared" si="50"/>
        <v>CT</v>
      </c>
      <c r="G522" t="str">
        <f>"06413"</f>
        <v>06413</v>
      </c>
      <c r="H522" t="str">
        <f>"8606696636"</f>
        <v>8606696636</v>
      </c>
      <c r="I522" t="str">
        <f t="shared" si="51"/>
        <v>ENGLISH</v>
      </c>
    </row>
    <row r="523" spans="1:9" x14ac:dyDescent="0.3">
      <c r="A523" t="str">
        <f>"STOP &amp; SHOP PHARMACY #653"</f>
        <v>STOP &amp; SHOP PHARMACY #653</v>
      </c>
      <c r="B523" t="str">
        <f t="shared" si="52"/>
        <v>Pharmacy</v>
      </c>
      <c r="C523" t="str">
        <f>"1790 POST RD EAST"</f>
        <v>1790 POST RD EAST</v>
      </c>
      <c r="D523" t="str">
        <f>""</f>
        <v/>
      </c>
      <c r="E523" t="str">
        <f>"WESTPORT"</f>
        <v>WESTPORT</v>
      </c>
      <c r="F523" t="str">
        <f t="shared" si="50"/>
        <v>CT</v>
      </c>
      <c r="G523" t="str">
        <f>"06880"</f>
        <v>06880</v>
      </c>
      <c r="H523" t="str">
        <f>"2032549461"</f>
        <v>2032549461</v>
      </c>
      <c r="I523" t="str">
        <f t="shared" si="51"/>
        <v>ENGLISH</v>
      </c>
    </row>
    <row r="524" spans="1:9" x14ac:dyDescent="0.3">
      <c r="A524" t="str">
        <f>"STOP &amp; SHOP PHARMACY #663"</f>
        <v>STOP &amp; SHOP PHARMACY #663</v>
      </c>
      <c r="B524" t="str">
        <f t="shared" si="52"/>
        <v>Pharmacy</v>
      </c>
      <c r="C524" t="str">
        <f>"1360 E TOWN ROAD"</f>
        <v>1360 E TOWN ROAD</v>
      </c>
      <c r="D524" t="str">
        <f>""</f>
        <v/>
      </c>
      <c r="E524" t="str">
        <f>"MILFORD"</f>
        <v>MILFORD</v>
      </c>
      <c r="F524" t="str">
        <f t="shared" si="50"/>
        <v>CT</v>
      </c>
      <c r="G524" t="str">
        <f>"06460"</f>
        <v>06460</v>
      </c>
      <c r="H524" t="str">
        <f>"2078852514"</f>
        <v>2078852514</v>
      </c>
      <c r="I524" t="str">
        <f t="shared" si="51"/>
        <v>ENGLISH</v>
      </c>
    </row>
    <row r="525" spans="1:9" x14ac:dyDescent="0.3">
      <c r="A525" t="str">
        <f>"STOP &amp; SHOP PHARMACY #667"</f>
        <v>STOP &amp; SHOP PHARMACY #667</v>
      </c>
      <c r="B525" t="str">
        <f t="shared" si="52"/>
        <v>Pharmacy</v>
      </c>
      <c r="C525" t="str">
        <f>"117 BOSTON POST ROAD"</f>
        <v>117 BOSTON POST ROAD</v>
      </c>
      <c r="D525" t="str">
        <f>""</f>
        <v/>
      </c>
      <c r="E525" t="str">
        <f>"WATERFORD"</f>
        <v>WATERFORD</v>
      </c>
      <c r="F525" t="str">
        <f t="shared" si="50"/>
        <v>CT</v>
      </c>
      <c r="G525" t="str">
        <f>"06385"</f>
        <v>06385</v>
      </c>
      <c r="H525" t="str">
        <f>"8604426698"</f>
        <v>8604426698</v>
      </c>
      <c r="I525" t="str">
        <f t="shared" si="51"/>
        <v>ENGLISH</v>
      </c>
    </row>
    <row r="526" spans="1:9" x14ac:dyDescent="0.3">
      <c r="A526" t="str">
        <f>"STOP &amp; SHOP PHARMACY #670"</f>
        <v>STOP &amp; SHOP PHARMACY #670</v>
      </c>
      <c r="B526" t="str">
        <f t="shared" si="52"/>
        <v>Pharmacy</v>
      </c>
      <c r="C526" t="str">
        <f>"4531 MAIN ST"</f>
        <v>4531 MAIN ST</v>
      </c>
      <c r="D526" t="str">
        <f>""</f>
        <v/>
      </c>
      <c r="E526" t="str">
        <f>"BRIDGEPORT"</f>
        <v>BRIDGEPORT</v>
      </c>
      <c r="F526" t="str">
        <f t="shared" si="50"/>
        <v>CT</v>
      </c>
      <c r="G526" t="str">
        <f>"06606"</f>
        <v>06606</v>
      </c>
      <c r="H526" t="str">
        <f>"2033726538"</f>
        <v>2033726538</v>
      </c>
      <c r="I526" t="str">
        <f t="shared" si="51"/>
        <v>ENGLISH</v>
      </c>
    </row>
    <row r="527" spans="1:9" x14ac:dyDescent="0.3">
      <c r="A527" t="str">
        <f>"STOP &amp; SHOP PHARMACY #674"</f>
        <v>STOP &amp; SHOP PHARMACY #674</v>
      </c>
      <c r="B527" t="str">
        <f t="shared" si="52"/>
        <v>Pharmacy</v>
      </c>
      <c r="C527" t="str">
        <f>"1391 MAIN STREET"</f>
        <v>1391 MAIN STREET</v>
      </c>
      <c r="D527" t="str">
        <f>""</f>
        <v/>
      </c>
      <c r="E527" t="str">
        <f>"WILLIMANTIC"</f>
        <v>WILLIMANTIC</v>
      </c>
      <c r="F527" t="str">
        <f t="shared" si="50"/>
        <v>CT</v>
      </c>
      <c r="G527" t="str">
        <f>"06226"</f>
        <v>06226</v>
      </c>
      <c r="H527" t="str">
        <f>"8604567240"</f>
        <v>8604567240</v>
      </c>
      <c r="I527" t="str">
        <f t="shared" si="51"/>
        <v>ENGLISH</v>
      </c>
    </row>
    <row r="528" spans="1:9" x14ac:dyDescent="0.3">
      <c r="A528" t="str">
        <f>"STOP &amp; SHOP PHARMACY #679"</f>
        <v>STOP &amp; SHOP PHARMACY #679</v>
      </c>
      <c r="B528" t="str">
        <f t="shared" si="52"/>
        <v>Pharmacy</v>
      </c>
      <c r="C528" t="str">
        <f>"240 CHASE AVENUE"</f>
        <v>240 CHASE AVENUE</v>
      </c>
      <c r="D528" t="str">
        <f>""</f>
        <v/>
      </c>
      <c r="E528" t="str">
        <f>"WATERBURY"</f>
        <v>WATERBURY</v>
      </c>
      <c r="F528" t="str">
        <f t="shared" si="50"/>
        <v>CT</v>
      </c>
      <c r="G528" t="str">
        <f>"06704"</f>
        <v>06704</v>
      </c>
      <c r="H528" t="str">
        <f>"2035971498"</f>
        <v>2035971498</v>
      </c>
      <c r="I528" t="str">
        <f t="shared" si="51"/>
        <v>ENGLISH</v>
      </c>
    </row>
    <row r="529" spans="1:9" x14ac:dyDescent="0.3">
      <c r="A529" t="str">
        <f>"STOP &amp; SHOP PHARMACY #682"</f>
        <v>STOP &amp; SHOP PHARMACY #682</v>
      </c>
      <c r="B529" t="str">
        <f t="shared" si="52"/>
        <v>Pharmacy</v>
      </c>
      <c r="C529" t="str">
        <f>"220 ROUTE 12"</f>
        <v>220 ROUTE 12</v>
      </c>
      <c r="D529" t="str">
        <f>"GROTON SQ SHOP CENTER"</f>
        <v>GROTON SQ SHOP CENTER</v>
      </c>
      <c r="E529" t="str">
        <f>"GROTON"</f>
        <v>GROTON</v>
      </c>
      <c r="F529" t="str">
        <f t="shared" si="50"/>
        <v>CT</v>
      </c>
      <c r="G529" t="str">
        <f>"06340"</f>
        <v>06340</v>
      </c>
      <c r="H529" t="str">
        <f>"8604458807"</f>
        <v>8604458807</v>
      </c>
      <c r="I529" t="str">
        <f t="shared" si="51"/>
        <v>ENGLISH</v>
      </c>
    </row>
    <row r="530" spans="1:9" x14ac:dyDescent="0.3">
      <c r="A530" t="str">
        <f>"STOP &amp; SHOP PHARMACY #683"</f>
        <v>STOP &amp; SHOP PHARMACY #683</v>
      </c>
      <c r="B530" t="str">
        <f t="shared" si="52"/>
        <v>Pharmacy</v>
      </c>
      <c r="C530" t="str">
        <f>"180 DANBURY RD"</f>
        <v>180 DANBURY RD</v>
      </c>
      <c r="D530" t="str">
        <f>""</f>
        <v/>
      </c>
      <c r="E530" t="str">
        <f>"NEW MILFORD"</f>
        <v>NEW MILFORD</v>
      </c>
      <c r="F530" t="str">
        <f t="shared" si="50"/>
        <v>CT</v>
      </c>
      <c r="G530" t="str">
        <f>"06776"</f>
        <v>06776</v>
      </c>
      <c r="H530" t="str">
        <f>"8603553763"</f>
        <v>8603553763</v>
      </c>
      <c r="I530" t="str">
        <f t="shared" si="51"/>
        <v>ENGLISH</v>
      </c>
    </row>
    <row r="531" spans="1:9" x14ac:dyDescent="0.3">
      <c r="A531" t="str">
        <f>"STOP &amp; SHOP PHARMACY #687"</f>
        <v>STOP &amp; SHOP PHARMACY #687</v>
      </c>
      <c r="B531" t="str">
        <f t="shared" si="52"/>
        <v>Pharmacy</v>
      </c>
      <c r="C531" t="str">
        <f>"22 LEETES ISLAND ROAD"</f>
        <v>22 LEETES ISLAND ROAD</v>
      </c>
      <c r="D531" t="str">
        <f>""</f>
        <v/>
      </c>
      <c r="E531" t="str">
        <f>"BRANFORD"</f>
        <v>BRANFORD</v>
      </c>
      <c r="F531" t="str">
        <f t="shared" ref="F531:F540" si="53">"CT"</f>
        <v>CT</v>
      </c>
      <c r="G531" t="str">
        <f>"06405"</f>
        <v>06405</v>
      </c>
      <c r="H531" t="str">
        <f>"2034813392"</f>
        <v>2034813392</v>
      </c>
      <c r="I531" t="str">
        <f t="shared" si="51"/>
        <v>ENGLISH</v>
      </c>
    </row>
    <row r="532" spans="1:9" x14ac:dyDescent="0.3">
      <c r="A532" t="str">
        <f>"STOP &amp; SHOP PHARMACY #689"</f>
        <v>STOP &amp; SHOP PHARMACY #689</v>
      </c>
      <c r="B532" t="str">
        <f t="shared" si="52"/>
        <v>Pharmacy</v>
      </c>
      <c r="C532" t="str">
        <f>"286 BROAD STREET"</f>
        <v>286 BROAD STREET</v>
      </c>
      <c r="D532" t="str">
        <f>""</f>
        <v/>
      </c>
      <c r="E532" t="str">
        <f>"MANCHESTER"</f>
        <v>MANCHESTER</v>
      </c>
      <c r="F532" t="str">
        <f t="shared" si="53"/>
        <v>CT</v>
      </c>
      <c r="G532" t="str">
        <f>"06040"</f>
        <v>06040</v>
      </c>
      <c r="H532" t="str">
        <f>"2078852514"</f>
        <v>2078852514</v>
      </c>
      <c r="I532" t="str">
        <f t="shared" si="51"/>
        <v>ENGLISH</v>
      </c>
    </row>
    <row r="533" spans="1:9" x14ac:dyDescent="0.3">
      <c r="A533" t="str">
        <f>"STOP &amp; SHOP PHARMACY #692"</f>
        <v>STOP &amp; SHOP PHARMACY #692</v>
      </c>
      <c r="B533" t="str">
        <f t="shared" si="52"/>
        <v>Pharmacy</v>
      </c>
      <c r="C533" t="str">
        <f>"370 HEMINGWAY AVENUE"</f>
        <v>370 HEMINGWAY AVENUE</v>
      </c>
      <c r="D533" t="str">
        <f>""</f>
        <v/>
      </c>
      <c r="E533" t="str">
        <f>"EAST HAVEN"</f>
        <v>EAST HAVEN</v>
      </c>
      <c r="F533" t="str">
        <f t="shared" si="53"/>
        <v>CT</v>
      </c>
      <c r="G533" t="str">
        <f>"06512"</f>
        <v>06512</v>
      </c>
      <c r="H533" t="str">
        <f>"2034681113"</f>
        <v>2034681113</v>
      </c>
      <c r="I533" t="str">
        <f t="shared" si="51"/>
        <v>ENGLISH</v>
      </c>
    </row>
    <row r="534" spans="1:9" x14ac:dyDescent="0.3">
      <c r="A534" t="str">
        <f>"STOP &amp; SHOP PHARMACY #697"</f>
        <v>STOP &amp; SHOP PHARMACY #697</v>
      </c>
      <c r="B534" t="str">
        <f t="shared" si="52"/>
        <v>Pharmacy</v>
      </c>
      <c r="C534" t="str">
        <f>"1094 KILLINGLY COMMONS DR"</f>
        <v>1094 KILLINGLY COMMONS DR</v>
      </c>
      <c r="D534" t="str">
        <f>""</f>
        <v/>
      </c>
      <c r="E534" t="str">
        <f>"DAYVILLE"</f>
        <v>DAYVILLE</v>
      </c>
      <c r="F534" t="str">
        <f t="shared" si="53"/>
        <v>CT</v>
      </c>
      <c r="G534" t="str">
        <f>"06241"</f>
        <v>06241</v>
      </c>
      <c r="H534" t="str">
        <f>"8607745301"</f>
        <v>8607745301</v>
      </c>
      <c r="I534" t="str">
        <f t="shared" si="51"/>
        <v>ENGLISH</v>
      </c>
    </row>
    <row r="535" spans="1:9" x14ac:dyDescent="0.3">
      <c r="A535" t="str">
        <f>"STOP &amp; SHOP PHARMACY #727"</f>
        <v>STOP &amp; SHOP PHARMACY #727</v>
      </c>
      <c r="B535" t="str">
        <f t="shared" si="52"/>
        <v>Pharmacy</v>
      </c>
      <c r="C535" t="str">
        <f>"60 PROVIDENCE TURNPIKE"</f>
        <v>60 PROVIDENCE TURNPIKE</v>
      </c>
      <c r="D535" t="str">
        <f>""</f>
        <v/>
      </c>
      <c r="E535" t="str">
        <f>"PUTMAN"</f>
        <v>PUTMAN</v>
      </c>
      <c r="F535" t="str">
        <f t="shared" si="53"/>
        <v>CT</v>
      </c>
      <c r="G535" t="str">
        <f>"06260"</f>
        <v>06260</v>
      </c>
      <c r="H535" t="str">
        <f>"8609632642"</f>
        <v>8609632642</v>
      </c>
      <c r="I535" t="str">
        <f t="shared" si="51"/>
        <v>ENGLISH</v>
      </c>
    </row>
    <row r="536" spans="1:9" x14ac:dyDescent="0.3">
      <c r="A536" t="str">
        <f>"STOP AND SHOP PHARMACY #688"</f>
        <v>STOP AND SHOP PHARMACY #688</v>
      </c>
      <c r="B536" t="str">
        <f t="shared" si="52"/>
        <v>Pharmacy</v>
      </c>
      <c r="C536" t="str">
        <f>"105 ELM STREET"</f>
        <v>105 ELM STREET</v>
      </c>
      <c r="D536" t="str">
        <f>""</f>
        <v/>
      </c>
      <c r="E536" t="str">
        <f>"OLD SAYBROOK"</f>
        <v>OLD SAYBROOK</v>
      </c>
      <c r="F536" t="str">
        <f t="shared" si="53"/>
        <v>CT</v>
      </c>
      <c r="G536" t="str">
        <f>"06475"</f>
        <v>06475</v>
      </c>
      <c r="H536" t="str">
        <f>"8603886461"</f>
        <v>8603886461</v>
      </c>
      <c r="I536" t="str">
        <f t="shared" si="51"/>
        <v>ENGLISH</v>
      </c>
    </row>
    <row r="537" spans="1:9" x14ac:dyDescent="0.3">
      <c r="A537" t="str">
        <f>"STRATFORD APOTHECARY LLC DBA ROTARY DRUG"</f>
        <v>STRATFORD APOTHECARY LLC DBA ROTARY DRUG</v>
      </c>
      <c r="B537" t="str">
        <f t="shared" si="52"/>
        <v>Pharmacy</v>
      </c>
      <c r="C537" t="str">
        <f>"1030 BARNUM AVE"</f>
        <v>1030 BARNUM AVE</v>
      </c>
      <c r="D537" t="str">
        <f>""</f>
        <v/>
      </c>
      <c r="E537" t="str">
        <f>"STRATFORD"</f>
        <v>STRATFORD</v>
      </c>
      <c r="F537" t="str">
        <f t="shared" si="53"/>
        <v>CT</v>
      </c>
      <c r="G537" t="str">
        <f>"06614"</f>
        <v>06614</v>
      </c>
      <c r="H537" t="str">
        <f>"2033789394"</f>
        <v>2033789394</v>
      </c>
      <c r="I537" t="str">
        <f>"ENGLISH;POLISH;PORTUGUESE;RUSSIAN;SPANISH"</f>
        <v>ENGLISH;POLISH;PORTUGUESE;RUSSIAN;SPANISH</v>
      </c>
    </row>
    <row r="538" spans="1:9" x14ac:dyDescent="0.3">
      <c r="A538" t="str">
        <f>"STRATFORD MARKET LLC"</f>
        <v>STRATFORD MARKET LLC</v>
      </c>
      <c r="B538" t="str">
        <f t="shared" si="52"/>
        <v>Pharmacy</v>
      </c>
      <c r="C538" t="str">
        <f>"250 BARNUM AVE CUTOFF"</f>
        <v>250 BARNUM AVE CUTOFF</v>
      </c>
      <c r="D538" t="str">
        <f>"SHOPRITE PHARMACY OF STRATFOR"</f>
        <v>SHOPRITE PHARMACY OF STRATFOR</v>
      </c>
      <c r="E538" t="str">
        <f>"STRATFORD"</f>
        <v>STRATFORD</v>
      </c>
      <c r="F538" t="str">
        <f t="shared" si="53"/>
        <v>CT</v>
      </c>
      <c r="G538" t="str">
        <f>"06614"</f>
        <v>06614</v>
      </c>
      <c r="H538" t="str">
        <f>"2033860550"</f>
        <v>2033860550</v>
      </c>
      <c r="I538" t="str">
        <f>"ENGLISH"</f>
        <v>ENGLISH</v>
      </c>
    </row>
    <row r="539" spans="1:9" x14ac:dyDescent="0.3">
      <c r="A539" t="str">
        <f>"SUBURBAN PHARMACY LTC INC"</f>
        <v>SUBURBAN PHARMACY LTC INC</v>
      </c>
      <c r="B539" t="str">
        <f t="shared" si="52"/>
        <v>Pharmacy</v>
      </c>
      <c r="C539" t="str">
        <f>"342 NORTH MAIN STREET"</f>
        <v>342 NORTH MAIN STREET</v>
      </c>
      <c r="D539" t="str">
        <f>"SUITE 70"</f>
        <v>SUITE 70</v>
      </c>
      <c r="E539" t="str">
        <f>"WEST HARTFORD"</f>
        <v>WEST HARTFORD</v>
      </c>
      <c r="F539" t="str">
        <f t="shared" si="53"/>
        <v>CT</v>
      </c>
      <c r="G539" t="str">
        <f>"06117"</f>
        <v>06117</v>
      </c>
      <c r="H539" t="str">
        <f>"8608821808"</f>
        <v>8608821808</v>
      </c>
      <c r="I539" t="str">
        <f>"ENGLISH"</f>
        <v>ENGLISH</v>
      </c>
    </row>
    <row r="540" spans="1:9" x14ac:dyDescent="0.3">
      <c r="A540" t="str">
        <f>"SUNRISE PHARMACY"</f>
        <v>SUNRISE PHARMACY</v>
      </c>
      <c r="B540" t="str">
        <f t="shared" si="52"/>
        <v>Pharmacy</v>
      </c>
      <c r="C540" t="str">
        <f>"240 INDIAN RIVER RD UNIT C1"</f>
        <v>240 INDIAN RIVER RD UNIT C1</v>
      </c>
      <c r="D540" t="str">
        <f>""</f>
        <v/>
      </c>
      <c r="E540" t="str">
        <f>"ORANGE"</f>
        <v>ORANGE</v>
      </c>
      <c r="F540" t="str">
        <f t="shared" si="53"/>
        <v>CT</v>
      </c>
      <c r="G540" t="str">
        <f>"06477"</f>
        <v>06477</v>
      </c>
      <c r="H540" t="str">
        <f>"4752099284"</f>
        <v>4752099284</v>
      </c>
      <c r="I540" t="str">
        <f>"ENGLISH;SPANISH"</f>
        <v>ENGLISH;SPANISH</v>
      </c>
    </row>
    <row r="541" spans="1:9" x14ac:dyDescent="0.3">
      <c r="A541" t="str">
        <f>"SUPERIOR BIOLOGICS NY, INC."</f>
        <v>SUPERIOR BIOLOGICS NY, INC.</v>
      </c>
      <c r="B541" t="str">
        <f t="shared" si="52"/>
        <v>Pharmacy</v>
      </c>
      <c r="C541" t="str">
        <f>"50 BROADWAY"</f>
        <v>50 BROADWAY</v>
      </c>
      <c r="D541" t="str">
        <f>"SUITE OFF06"</f>
        <v>SUITE OFF06</v>
      </c>
      <c r="E541" t="str">
        <f>"HAWTHORNE"</f>
        <v>HAWTHORNE</v>
      </c>
      <c r="F541" t="str">
        <f>"NY"</f>
        <v>NY</v>
      </c>
      <c r="G541" t="str">
        <f>"10532"</f>
        <v>10532</v>
      </c>
      <c r="H541" t="str">
        <f>"8557471150"</f>
        <v>8557471150</v>
      </c>
      <c r="I541" t="str">
        <f t="shared" ref="I541:I550" si="54">"ENGLISH"</f>
        <v>ENGLISH</v>
      </c>
    </row>
    <row r="542" spans="1:9" x14ac:dyDescent="0.3">
      <c r="A542" t="str">
        <f>"THE PRICE CHOPPER INC #221"</f>
        <v>THE PRICE CHOPPER INC #221</v>
      </c>
      <c r="B542" t="str">
        <f t="shared" si="52"/>
        <v>Pharmacy</v>
      </c>
      <c r="C542" t="str">
        <f>"675 POQUONOCK AVENUE"</f>
        <v>675 POQUONOCK AVENUE</v>
      </c>
      <c r="D542" t="str">
        <f>""</f>
        <v/>
      </c>
      <c r="E542" t="str">
        <f>"WINDSOR"</f>
        <v>WINDSOR</v>
      </c>
      <c r="F542" t="str">
        <f t="shared" ref="F542:F550" si="55">"CT"</f>
        <v>CT</v>
      </c>
      <c r="G542" t="str">
        <f>"06095"</f>
        <v>06095</v>
      </c>
      <c r="H542" t="str">
        <f>"8606871198"</f>
        <v>8606871198</v>
      </c>
      <c r="I542" t="str">
        <f t="shared" si="54"/>
        <v>ENGLISH</v>
      </c>
    </row>
    <row r="543" spans="1:9" x14ac:dyDescent="0.3">
      <c r="A543" t="str">
        <f>"THE PRICE CHOPPER, INC"</f>
        <v>THE PRICE CHOPPER, INC</v>
      </c>
      <c r="B543" t="str">
        <f t="shared" si="52"/>
        <v>Pharmacy</v>
      </c>
      <c r="C543" t="str">
        <f>"251 KENNEDY DRIVE, SUITE A"</f>
        <v>251 KENNEDY DRIVE, SUITE A</v>
      </c>
      <c r="D543" t="str">
        <f>"DBA PRICE CHOPPER PHARMACY"</f>
        <v>DBA PRICE CHOPPER PHARMACY</v>
      </c>
      <c r="E543" t="str">
        <f>"PUTNAM"</f>
        <v>PUTNAM</v>
      </c>
      <c r="F543" t="str">
        <f t="shared" si="55"/>
        <v>CT</v>
      </c>
      <c r="G543" t="str">
        <f>"06260"</f>
        <v>06260</v>
      </c>
      <c r="H543" t="str">
        <f>"5183791618"</f>
        <v>5183791618</v>
      </c>
      <c r="I543" t="str">
        <f t="shared" si="54"/>
        <v>ENGLISH</v>
      </c>
    </row>
    <row r="544" spans="1:9" x14ac:dyDescent="0.3">
      <c r="A544" t="str">
        <f>"THE PRICE CHOPPER, INC"</f>
        <v>THE PRICE CHOPPER, INC</v>
      </c>
      <c r="B544" t="str">
        <f t="shared" si="52"/>
        <v>Pharmacy</v>
      </c>
      <c r="C544" t="str">
        <f>"121 FARMINGTON AVENUE"</f>
        <v>121 FARMINGTON AVENUE</v>
      </c>
      <c r="D544" t="str">
        <f>"DBA PRICE CHOPPER PHARMACY"</f>
        <v>DBA PRICE CHOPPER PHARMACY</v>
      </c>
      <c r="E544" t="str">
        <f>"BRISTOL"</f>
        <v>BRISTOL</v>
      </c>
      <c r="F544" t="str">
        <f t="shared" si="55"/>
        <v>CT</v>
      </c>
      <c r="G544" t="str">
        <f>"06010"</f>
        <v>06010</v>
      </c>
      <c r="H544" t="str">
        <f>"8605823702"</f>
        <v>8605823702</v>
      </c>
      <c r="I544" t="str">
        <f t="shared" si="54"/>
        <v>ENGLISH</v>
      </c>
    </row>
    <row r="545" spans="1:9" x14ac:dyDescent="0.3">
      <c r="A545" t="str">
        <f>"THE PRICE CHOPPER, INC"</f>
        <v>THE PRICE CHOPPER, INC</v>
      </c>
      <c r="B545" t="str">
        <f t="shared" si="52"/>
        <v>Pharmacy</v>
      </c>
      <c r="C545" t="str">
        <f>"990 TORRINGFORD STREET"</f>
        <v>990 TORRINGFORD STREET</v>
      </c>
      <c r="D545" t="str">
        <f>"DBA PRICE CHOPPER PHARMACY"</f>
        <v>DBA PRICE CHOPPER PHARMACY</v>
      </c>
      <c r="E545" t="str">
        <f>"TORRINGTON"</f>
        <v>TORRINGTON</v>
      </c>
      <c r="F545" t="str">
        <f t="shared" si="55"/>
        <v>CT</v>
      </c>
      <c r="G545" t="str">
        <f>"06790"</f>
        <v>06790</v>
      </c>
      <c r="H545" t="str">
        <f>"8604965058"</f>
        <v>8604965058</v>
      </c>
      <c r="I545" t="str">
        <f t="shared" si="54"/>
        <v>ENGLISH</v>
      </c>
    </row>
    <row r="546" spans="1:9" x14ac:dyDescent="0.3">
      <c r="A546" t="str">
        <f>"THE PRICE CHOPPER, INC. DBA PRICE CHOPPER PHARMAC"</f>
        <v>THE PRICE CHOPPER, INC. DBA PRICE CHOPPER PHARMAC</v>
      </c>
      <c r="B546" t="str">
        <f t="shared" si="52"/>
        <v>Pharmacy</v>
      </c>
      <c r="C546" t="str">
        <f>"855 WASHINGTON STREET"</f>
        <v>855 WASHINGTON STREET</v>
      </c>
      <c r="D546" t="str">
        <f>""</f>
        <v/>
      </c>
      <c r="E546" t="str">
        <f>"MIDDLETOWN"</f>
        <v>MIDDLETOWN</v>
      </c>
      <c r="F546" t="str">
        <f t="shared" si="55"/>
        <v>CT</v>
      </c>
      <c r="G546" t="str">
        <f>"06457"</f>
        <v>06457</v>
      </c>
      <c r="H546" t="str">
        <f>"8607407707"</f>
        <v>8607407707</v>
      </c>
      <c r="I546" t="str">
        <f t="shared" si="54"/>
        <v>ENGLISH</v>
      </c>
    </row>
    <row r="547" spans="1:9" x14ac:dyDescent="0.3">
      <c r="A547" t="str">
        <f>"THE WORLD HEALTH CLINICIANS INC. 340B PHARMACY"</f>
        <v>THE WORLD HEALTH CLINICIANS INC. 340B PHARMACY</v>
      </c>
      <c r="B547" t="str">
        <f t="shared" si="52"/>
        <v>Pharmacy</v>
      </c>
      <c r="C547" t="str">
        <f>"618 WEST AVENUE"</f>
        <v>618 WEST AVENUE</v>
      </c>
      <c r="D547" t="str">
        <f>""</f>
        <v/>
      </c>
      <c r="E547" t="str">
        <f>"NORWALK"</f>
        <v>NORWALK</v>
      </c>
      <c r="F547" t="str">
        <f t="shared" si="55"/>
        <v>CT</v>
      </c>
      <c r="G547" t="str">
        <f>"06850"</f>
        <v>06850</v>
      </c>
      <c r="H547" t="str">
        <f>"2039391765"</f>
        <v>2039391765</v>
      </c>
      <c r="I547" t="str">
        <f t="shared" si="54"/>
        <v>ENGLISH</v>
      </c>
    </row>
    <row r="548" spans="1:9" x14ac:dyDescent="0.3">
      <c r="A548" t="str">
        <f>"THE WORLD HEALTH CLINICIANS, INC."</f>
        <v>THE WORLD HEALTH CLINICIANS, INC.</v>
      </c>
      <c r="B548" t="str">
        <f t="shared" si="52"/>
        <v>Pharmacy</v>
      </c>
      <c r="C548" t="str">
        <f>"618 WEST AVENUE"</f>
        <v>618 WEST AVENUE</v>
      </c>
      <c r="D548" t="str">
        <f>""</f>
        <v/>
      </c>
      <c r="E548" t="str">
        <f>"NORWALK"</f>
        <v>NORWALK</v>
      </c>
      <c r="F548" t="str">
        <f t="shared" si="55"/>
        <v>CT</v>
      </c>
      <c r="G548" t="str">
        <f>"06850"</f>
        <v>06850</v>
      </c>
      <c r="H548" t="str">
        <f>"2039391765"</f>
        <v>2039391765</v>
      </c>
      <c r="I548" t="str">
        <f t="shared" si="54"/>
        <v>ENGLISH</v>
      </c>
    </row>
    <row r="549" spans="1:9" x14ac:dyDescent="0.3">
      <c r="A549" t="str">
        <f>"THOMASTON PHARMACY PLLC"</f>
        <v>THOMASTON PHARMACY PLLC</v>
      </c>
      <c r="B549" t="str">
        <f t="shared" si="52"/>
        <v>Pharmacy</v>
      </c>
      <c r="C549" t="str">
        <f>"130 SOUTH MAIN ST"</f>
        <v>130 SOUTH MAIN ST</v>
      </c>
      <c r="D549" t="str">
        <f>"SUITE 1B"</f>
        <v>SUITE 1B</v>
      </c>
      <c r="E549" t="str">
        <f>"THOMASTON"</f>
        <v>THOMASTON</v>
      </c>
      <c r="F549" t="str">
        <f t="shared" si="55"/>
        <v>CT</v>
      </c>
      <c r="G549" t="str">
        <f>"06787"</f>
        <v>06787</v>
      </c>
      <c r="H549" t="str">
        <f>"8604844245"</f>
        <v>8604844245</v>
      </c>
      <c r="I549" t="str">
        <f t="shared" si="54"/>
        <v>ENGLISH</v>
      </c>
    </row>
    <row r="550" spans="1:9" x14ac:dyDescent="0.3">
      <c r="A550" t="str">
        <f>"TORRINGTON PHARMACY, INC"</f>
        <v>TORRINGTON PHARMACY, INC</v>
      </c>
      <c r="B550" t="str">
        <f t="shared" si="52"/>
        <v>Pharmacy</v>
      </c>
      <c r="C550" t="str">
        <f>"110 EAST MAIN ST"</f>
        <v>110 EAST MAIN ST</v>
      </c>
      <c r="D550" t="str">
        <f>"PETRICONE''S TORRINGTON PHARM"</f>
        <v>PETRICONE''S TORRINGTON PHARM</v>
      </c>
      <c r="E550" t="str">
        <f>"TORRINGTON"</f>
        <v>TORRINGTON</v>
      </c>
      <c r="F550" t="str">
        <f t="shared" si="55"/>
        <v>CT</v>
      </c>
      <c r="G550" t="str">
        <f>"06790"</f>
        <v>06790</v>
      </c>
      <c r="H550" t="str">
        <f>"8604895511"</f>
        <v>8604895511</v>
      </c>
      <c r="I550" t="str">
        <f t="shared" si="54"/>
        <v>ENGLISH</v>
      </c>
    </row>
    <row r="551" spans="1:9" x14ac:dyDescent="0.3">
      <c r="A551" t="str">
        <f>"TOTAL CARE RX, INC"</f>
        <v>TOTAL CARE RX, INC</v>
      </c>
      <c r="B551" t="str">
        <f t="shared" si="52"/>
        <v>Pharmacy</v>
      </c>
      <c r="C551" t="str">
        <f>"22310 UNION TURNPIKE"</f>
        <v>22310 UNION TURNPIKE</v>
      </c>
      <c r="D551" t="str">
        <f>""</f>
        <v/>
      </c>
      <c r="E551" t="str">
        <f>"OAKLAND GARDENS"</f>
        <v>OAKLAND GARDENS</v>
      </c>
      <c r="F551" t="str">
        <f>"NY"</f>
        <v>NY</v>
      </c>
      <c r="G551" t="str">
        <f>"11364"</f>
        <v>11364</v>
      </c>
      <c r="H551" t="str">
        <f>"7187627111"</f>
        <v>7187627111</v>
      </c>
      <c r="I551" t="str">
        <f>"CHINESE;ENGLISH;SPANISH"</f>
        <v>CHINESE;ENGLISH;SPANISH</v>
      </c>
    </row>
    <row r="552" spans="1:9" x14ac:dyDescent="0.3">
      <c r="A552" t="str">
        <f>"TOWNE APOTHECARY LLC"</f>
        <v>TOWNE APOTHECARY LLC</v>
      </c>
      <c r="B552" t="str">
        <f t="shared" si="52"/>
        <v>Pharmacy</v>
      </c>
      <c r="C552" t="str">
        <f>"95 MAIN ST SOUTH"</f>
        <v>95 MAIN ST SOUTH</v>
      </c>
      <c r="D552" t="str">
        <f>""</f>
        <v/>
      </c>
      <c r="E552" t="str">
        <f>"BETHLEHEM"</f>
        <v>BETHLEHEM</v>
      </c>
      <c r="F552" t="str">
        <f>"CT"</f>
        <v>CT</v>
      </c>
      <c r="G552" t="str">
        <f>"06751"</f>
        <v>06751</v>
      </c>
      <c r="H552" t="str">
        <f>"2032667801"</f>
        <v>2032667801</v>
      </c>
      <c r="I552" t="str">
        <f>"ENGLISH;POLISH"</f>
        <v>ENGLISH;POLISH</v>
      </c>
    </row>
    <row r="553" spans="1:9" x14ac:dyDescent="0.3">
      <c r="A553" t="str">
        <f>"TOWNE RX INC"</f>
        <v>TOWNE RX INC</v>
      </c>
      <c r="B553" t="str">
        <f t="shared" si="52"/>
        <v>Pharmacy</v>
      </c>
      <c r="C553" t="str">
        <f>"95 MAIN STREET SOUTH"</f>
        <v>95 MAIN STREET SOUTH</v>
      </c>
      <c r="D553" t="str">
        <f>""</f>
        <v/>
      </c>
      <c r="E553" t="str">
        <f>"BETHLEHEM"</f>
        <v>BETHLEHEM</v>
      </c>
      <c r="F553" t="str">
        <f>"CT"</f>
        <v>CT</v>
      </c>
      <c r="G553" t="str">
        <f>"06751"</f>
        <v>06751</v>
      </c>
      <c r="H553" t="str">
        <f>"2032667801"</f>
        <v>2032667801</v>
      </c>
      <c r="I553" t="str">
        <f>"ENGLISH;SPANISH"</f>
        <v>ENGLISH;SPANISH</v>
      </c>
    </row>
    <row r="554" spans="1:9" x14ac:dyDescent="0.3">
      <c r="A554" t="str">
        <f>"TRCP DBA NUTMEG PHARMACY"</f>
        <v>TRCP DBA NUTMEG PHARMACY</v>
      </c>
      <c r="B554" t="str">
        <f t="shared" si="52"/>
        <v>Pharmacy</v>
      </c>
      <c r="C554" t="str">
        <f>"3 N 2ND AVENUE PHARMACY"</f>
        <v>3 N 2ND AVENUE PHARMACY</v>
      </c>
      <c r="D554" t="str">
        <f>""</f>
        <v/>
      </c>
      <c r="E554" t="str">
        <f>"TAFTVILLE"</f>
        <v>TAFTVILLE</v>
      </c>
      <c r="F554" t="str">
        <f>"CT"</f>
        <v>CT</v>
      </c>
      <c r="G554" t="str">
        <f>"06380"</f>
        <v>06380</v>
      </c>
      <c r="H554" t="str">
        <f>"8603832013"</f>
        <v>8603832013</v>
      </c>
      <c r="I554" t="str">
        <f>"ENGLISH"</f>
        <v>ENGLISH</v>
      </c>
    </row>
    <row r="555" spans="1:9" x14ac:dyDescent="0.3">
      <c r="A555" t="str">
        <f>"TRINITY HEALTH PHARMACY SERVICES, LLC"</f>
        <v>TRINITY HEALTH PHARMACY SERVICES, LLC</v>
      </c>
      <c r="B555" t="str">
        <f t="shared" si="52"/>
        <v>Pharmacy</v>
      </c>
      <c r="C555" t="str">
        <f>"12279 BLUFFTON ROAD"</f>
        <v>12279 BLUFFTON ROAD</v>
      </c>
      <c r="D555" t="str">
        <f>""</f>
        <v/>
      </c>
      <c r="E555" t="str">
        <f>"FORT WAYNE"</f>
        <v>FORT WAYNE</v>
      </c>
      <c r="F555" t="str">
        <f>"IN"</f>
        <v>IN</v>
      </c>
      <c r="G555" t="str">
        <f>"46809"</f>
        <v>46809</v>
      </c>
      <c r="H555" t="str">
        <f>"8336750790"</f>
        <v>8336750790</v>
      </c>
      <c r="I555" t="str">
        <f>"ENGLISH"</f>
        <v>ENGLISH</v>
      </c>
    </row>
    <row r="556" spans="1:9" x14ac:dyDescent="0.3">
      <c r="A556" t="str">
        <f>"TRUE CARE PHARMACY"</f>
        <v>TRUE CARE PHARMACY</v>
      </c>
      <c r="B556" t="str">
        <f t="shared" si="52"/>
        <v>Pharmacy</v>
      </c>
      <c r="C556" t="str">
        <f>"1300 WHALLEY AV"</f>
        <v>1300 WHALLEY AV</v>
      </c>
      <c r="D556" t="str">
        <f>""</f>
        <v/>
      </c>
      <c r="E556" t="str">
        <f>"NEW HAVEN"</f>
        <v>NEW HAVEN</v>
      </c>
      <c r="F556" t="str">
        <f>"CT"</f>
        <v>CT</v>
      </c>
      <c r="G556" t="str">
        <f>"06515"</f>
        <v>06515</v>
      </c>
      <c r="H556" t="str">
        <f>"2038917031"</f>
        <v>2038917031</v>
      </c>
      <c r="I556" t="str">
        <f>"ENGLISH"</f>
        <v>ENGLISH</v>
      </c>
    </row>
    <row r="557" spans="1:9" x14ac:dyDescent="0.3">
      <c r="A557" t="str">
        <f>"UCONN HEALTH PHARMACY SERVICES INC."</f>
        <v>UCONN HEALTH PHARMACY SERVICES INC.</v>
      </c>
      <c r="B557" t="str">
        <f t="shared" si="52"/>
        <v>Pharmacy</v>
      </c>
      <c r="C557" t="str">
        <f>"270 FARMINGTON AVE STE 108"</f>
        <v>270 FARMINGTON AVE STE 108</v>
      </c>
      <c r="D557" t="str">
        <f>""</f>
        <v/>
      </c>
      <c r="E557" t="str">
        <f>"FARMINGTON"</f>
        <v>FARMINGTON</v>
      </c>
      <c r="F557" t="str">
        <f>"CT"</f>
        <v>CT</v>
      </c>
      <c r="G557" t="str">
        <f>"06032"</f>
        <v>06032</v>
      </c>
      <c r="H557" t="str">
        <f>"8337774276"</f>
        <v>8337774276</v>
      </c>
      <c r="I557" t="str">
        <f>"ENGLISH;SPANISH"</f>
        <v>ENGLISH;SPANISH</v>
      </c>
    </row>
    <row r="558" spans="1:9" x14ac:dyDescent="0.3">
      <c r="A558" t="str">
        <f>"UCONN STUDENT HEALTH SERVICES PHARMACY"</f>
        <v>UCONN STUDENT HEALTH SERVICES PHARMACY</v>
      </c>
      <c r="B558" t="str">
        <f t="shared" si="52"/>
        <v>Pharmacy</v>
      </c>
      <c r="C558" t="str">
        <f>"234 GLENBROOK RD, U-4011"</f>
        <v>234 GLENBROOK RD, U-4011</v>
      </c>
      <c r="D558" t="str">
        <f>""</f>
        <v/>
      </c>
      <c r="E558" t="str">
        <f>"STORRS"</f>
        <v>STORRS</v>
      </c>
      <c r="F558" t="str">
        <f>"CT"</f>
        <v>CT</v>
      </c>
      <c r="G558" t="str">
        <f>"06269"</f>
        <v>06269</v>
      </c>
      <c r="H558" t="str">
        <f>"8604860736"</f>
        <v>8604860736</v>
      </c>
      <c r="I558" t="str">
        <f>"ENGLISH"</f>
        <v>ENGLISH</v>
      </c>
    </row>
    <row r="559" spans="1:9" x14ac:dyDescent="0.3">
      <c r="A559" t="str">
        <f>"UMASS MEMORIAL CENTER SPECIALTY PHARMACY"</f>
        <v>UMASS MEMORIAL CENTER SPECIALTY PHARMACY</v>
      </c>
      <c r="B559" t="str">
        <f t="shared" si="52"/>
        <v>Pharmacy</v>
      </c>
      <c r="C559" t="str">
        <f>"55 LAKE AVENUE NORTH, ACC BLD"</f>
        <v>55 LAKE AVENUE NORTH, ACC BLD</v>
      </c>
      <c r="D559" t="str">
        <f>"FIRST FLOOR"</f>
        <v>FIRST FLOOR</v>
      </c>
      <c r="E559" t="str">
        <f>"WORCESTER"</f>
        <v>WORCESTER</v>
      </c>
      <c r="F559" t="str">
        <f>"MA"</f>
        <v>MA</v>
      </c>
      <c r="G559" t="str">
        <f>"01655"</f>
        <v>01655</v>
      </c>
      <c r="H559" t="str">
        <f>"8886393988"</f>
        <v>8886393988</v>
      </c>
      <c r="I559" t="str">
        <f>"ENGLISH;MULTIPLE LANGUAGES;POLISH;PORTUGUESE;RUSSIAN;SPANISH"</f>
        <v>ENGLISH;MULTIPLE LANGUAGES;POLISH;PORTUGUESE;RUSSIAN;SPANISH</v>
      </c>
    </row>
    <row r="560" spans="1:9" x14ac:dyDescent="0.3">
      <c r="A560" t="str">
        <f>"UMASS MEMORIAL MEDICAL CENTER, INC. SPECIALTY PHA"</f>
        <v>UMASS MEMORIAL MEDICAL CENTER, INC. SPECIALTY PHA</v>
      </c>
      <c r="B560" t="str">
        <f t="shared" si="52"/>
        <v>Pharmacy</v>
      </c>
      <c r="C560" t="str">
        <f>"55 LAKE AVENUE NORTH"</f>
        <v>55 LAKE AVENUE NORTH</v>
      </c>
      <c r="D560" t="str">
        <f>"SUITE AC1.033"</f>
        <v>SUITE AC1.033</v>
      </c>
      <c r="E560" t="str">
        <f>"WORCESTER"</f>
        <v>WORCESTER</v>
      </c>
      <c r="F560" t="str">
        <f>"MA"</f>
        <v>MA</v>
      </c>
      <c r="G560" t="str">
        <f>"01655"</f>
        <v>01655</v>
      </c>
      <c r="H560" t="str">
        <f>"8886393988"</f>
        <v>8886393988</v>
      </c>
      <c r="I560" t="str">
        <f>"ENGLISH;MULTIPLE LANGUAGES;POLISH;PORTUGUESE;RUSSIAN;SPANISH"</f>
        <v>ENGLISH;MULTIPLE LANGUAGES;POLISH;PORTUGUESE;RUSSIAN;SPANISH</v>
      </c>
    </row>
    <row r="561" spans="1:9" x14ac:dyDescent="0.3">
      <c r="A561" t="str">
        <f>"UNITY PHARMACY"</f>
        <v>UNITY PHARMACY</v>
      </c>
      <c r="B561" t="str">
        <f t="shared" si="52"/>
        <v>Pharmacy</v>
      </c>
      <c r="C561" t="str">
        <f>"679 FAIRFIELD AVENUE"</f>
        <v>679 FAIRFIELD AVENUE</v>
      </c>
      <c r="D561" t="str">
        <f>""</f>
        <v/>
      </c>
      <c r="E561" t="str">
        <f>"BRIDGEPORT"</f>
        <v>BRIDGEPORT</v>
      </c>
      <c r="F561" t="str">
        <f t="shared" ref="F561:F592" si="56">"CT"</f>
        <v>CT</v>
      </c>
      <c r="G561" t="str">
        <f>"06604"</f>
        <v>06604</v>
      </c>
      <c r="H561" t="str">
        <f>"2036901048"</f>
        <v>2036901048</v>
      </c>
      <c r="I561" t="str">
        <f>"ENGLISH;SPANISH"</f>
        <v>ENGLISH;SPANISH</v>
      </c>
    </row>
    <row r="562" spans="1:9" x14ac:dyDescent="0.3">
      <c r="A562" t="str">
        <f>"URX 3 LLC"</f>
        <v>URX 3 LLC</v>
      </c>
      <c r="B562" t="str">
        <f t="shared" si="52"/>
        <v>Pharmacy</v>
      </c>
      <c r="C562" t="str">
        <f>"1249 W MAIN ST"</f>
        <v>1249 W MAIN ST</v>
      </c>
      <c r="D562" t="str">
        <f>""</f>
        <v/>
      </c>
      <c r="E562" t="str">
        <f>"WATERBURY"</f>
        <v>WATERBURY</v>
      </c>
      <c r="F562" t="str">
        <f t="shared" si="56"/>
        <v>CT</v>
      </c>
      <c r="G562" t="str">
        <f>"06708"</f>
        <v>06708</v>
      </c>
      <c r="H562" t="str">
        <f>"2037598548"</f>
        <v>2037598548</v>
      </c>
      <c r="I562" t="str">
        <f>"ENGLISH;SPANISH"</f>
        <v>ENGLISH;SPANISH</v>
      </c>
    </row>
    <row r="563" spans="1:9" x14ac:dyDescent="0.3">
      <c r="A563" t="str">
        <f>"URX2 LLC"</f>
        <v>URX2 LLC</v>
      </c>
      <c r="B563" t="str">
        <f t="shared" si="52"/>
        <v>Pharmacy</v>
      </c>
      <c r="C563" t="str">
        <f>"1351 WHALLEY AVENUE"</f>
        <v>1351 WHALLEY AVENUE</v>
      </c>
      <c r="D563" t="str">
        <f>""</f>
        <v/>
      </c>
      <c r="E563" t="str">
        <f>"NEW HAVEN"</f>
        <v>NEW HAVEN</v>
      </c>
      <c r="F563" t="str">
        <f t="shared" si="56"/>
        <v>CT</v>
      </c>
      <c r="G563" t="str">
        <f>"06515"</f>
        <v>06515</v>
      </c>
      <c r="H563" t="str">
        <f>"2037450030"</f>
        <v>2037450030</v>
      </c>
      <c r="I563" t="str">
        <f>"ENGLISH;SPANISH"</f>
        <v>ENGLISH;SPANISH</v>
      </c>
    </row>
    <row r="564" spans="1:9" x14ac:dyDescent="0.3">
      <c r="A564" t="str">
        <f>"URX2 LLC"</f>
        <v>URX2 LLC</v>
      </c>
      <c r="B564" t="str">
        <f t="shared" si="52"/>
        <v>Pharmacy</v>
      </c>
      <c r="C564" t="str">
        <f>"1351 WHALLEY AVENUE"</f>
        <v>1351 WHALLEY AVENUE</v>
      </c>
      <c r="D564" t="str">
        <f>""</f>
        <v/>
      </c>
      <c r="E564" t="str">
        <f>"NEW HAVEN"</f>
        <v>NEW HAVEN</v>
      </c>
      <c r="F564" t="str">
        <f t="shared" si="56"/>
        <v>CT</v>
      </c>
      <c r="G564" t="str">
        <f>"06515"</f>
        <v>06515</v>
      </c>
      <c r="H564" t="str">
        <f>"2037450030"</f>
        <v>2037450030</v>
      </c>
      <c r="I564" t="str">
        <f>"ENGLISH"</f>
        <v>ENGLISH</v>
      </c>
    </row>
    <row r="565" spans="1:9" x14ac:dyDescent="0.3">
      <c r="A565" t="str">
        <f>"URX3 LLC"</f>
        <v>URX3 LLC</v>
      </c>
      <c r="B565" t="str">
        <f t="shared" si="52"/>
        <v>Pharmacy</v>
      </c>
      <c r="C565" t="str">
        <f>"1249 WEST MAIN STREET"</f>
        <v>1249 WEST MAIN STREET</v>
      </c>
      <c r="D565" t="str">
        <f>""</f>
        <v/>
      </c>
      <c r="E565" t="str">
        <f>"WATERBURY"</f>
        <v>WATERBURY</v>
      </c>
      <c r="F565" t="str">
        <f t="shared" si="56"/>
        <v>CT</v>
      </c>
      <c r="G565" t="str">
        <f>"06708"</f>
        <v>06708</v>
      </c>
      <c r="H565" t="str">
        <f>"2034911122"</f>
        <v>2034911122</v>
      </c>
      <c r="I565" t="str">
        <f>"ENGLISH;SPANISH"</f>
        <v>ENGLISH;SPANISH</v>
      </c>
    </row>
    <row r="566" spans="1:9" x14ac:dyDescent="0.3">
      <c r="A566" t="str">
        <f>"URX4 LLC"</f>
        <v>URX4 LLC</v>
      </c>
      <c r="B566" t="str">
        <f t="shared" si="52"/>
        <v>Pharmacy</v>
      </c>
      <c r="C566" t="str">
        <f>"1057 E MAIN STREET"</f>
        <v>1057 E MAIN STREET</v>
      </c>
      <c r="D566" t="str">
        <f>""</f>
        <v/>
      </c>
      <c r="E566" t="str">
        <f>"BRIDGEPORT"</f>
        <v>BRIDGEPORT</v>
      </c>
      <c r="F566" t="str">
        <f t="shared" si="56"/>
        <v>CT</v>
      </c>
      <c r="G566" t="str">
        <f>"06608"</f>
        <v>06608</v>
      </c>
      <c r="H566" t="str">
        <f>"2032902777"</f>
        <v>2032902777</v>
      </c>
      <c r="I566" t="str">
        <f>"ENGLISH"</f>
        <v>ENGLISH</v>
      </c>
    </row>
    <row r="567" spans="1:9" x14ac:dyDescent="0.3">
      <c r="A567" t="str">
        <f>"URX4 LLC"</f>
        <v>URX4 LLC</v>
      </c>
      <c r="B567" t="str">
        <f t="shared" si="52"/>
        <v>Pharmacy</v>
      </c>
      <c r="C567" t="str">
        <f>"1057 E MAIN STREET"</f>
        <v>1057 E MAIN STREET</v>
      </c>
      <c r="D567" t="str">
        <f>"UNITY PHARMACY"</f>
        <v>UNITY PHARMACY</v>
      </c>
      <c r="E567" t="str">
        <f>"BRIDGEPORT"</f>
        <v>BRIDGEPORT</v>
      </c>
      <c r="F567" t="str">
        <f t="shared" si="56"/>
        <v>CT</v>
      </c>
      <c r="G567" t="str">
        <f>"06606"</f>
        <v>06606</v>
      </c>
      <c r="H567" t="str">
        <f>"2036901048"</f>
        <v>2036901048</v>
      </c>
      <c r="I567" t="str">
        <f>"ENGLISH;PORTUGUESE;SPANISH"</f>
        <v>ENGLISH;PORTUGUESE;SPANISH</v>
      </c>
    </row>
    <row r="568" spans="1:9" x14ac:dyDescent="0.3">
      <c r="A568" t="str">
        <f>"URX6"</f>
        <v>URX6</v>
      </c>
      <c r="B568" t="str">
        <f t="shared" si="52"/>
        <v>Pharmacy</v>
      </c>
      <c r="C568" t="str">
        <f>"500 FARMINGTON AVENUE"</f>
        <v>500 FARMINGTON AVENUE</v>
      </c>
      <c r="D568" t="str">
        <f>""</f>
        <v/>
      </c>
      <c r="E568" t="str">
        <f>"HARTFORD"</f>
        <v>HARTFORD</v>
      </c>
      <c r="F568" t="str">
        <f t="shared" si="56"/>
        <v>CT</v>
      </c>
      <c r="G568" t="str">
        <f>"06105"</f>
        <v>06105</v>
      </c>
      <c r="H568" t="str">
        <f>"8605229289"</f>
        <v>8605229289</v>
      </c>
      <c r="I568" t="str">
        <f>"ENGLISH;SPANISH"</f>
        <v>ENGLISH;SPANISH</v>
      </c>
    </row>
    <row r="569" spans="1:9" x14ac:dyDescent="0.3">
      <c r="A569" t="str">
        <f>"URX6 LLC"</f>
        <v>URX6 LLC</v>
      </c>
      <c r="B569" t="str">
        <f t="shared" si="52"/>
        <v>Pharmacy</v>
      </c>
      <c r="C569" t="str">
        <f>"500 FARMINGTON AVENUE"</f>
        <v>500 FARMINGTON AVENUE</v>
      </c>
      <c r="D569" t="str">
        <f>""</f>
        <v/>
      </c>
      <c r="E569" t="str">
        <f>"HARTFORD"</f>
        <v>HARTFORD</v>
      </c>
      <c r="F569" t="str">
        <f t="shared" si="56"/>
        <v>CT</v>
      </c>
      <c r="G569" t="str">
        <f>"06105"</f>
        <v>06105</v>
      </c>
      <c r="H569" t="str">
        <f>"8605229289"</f>
        <v>8605229289</v>
      </c>
      <c r="I569" t="str">
        <f>"ENGLISH;PORTUGUESE;SPANISH"</f>
        <v>ENGLISH;PORTUGUESE;SPANISH</v>
      </c>
    </row>
    <row r="570" spans="1:9" x14ac:dyDescent="0.3">
      <c r="A570" t="str">
        <f>"VALLEY PHARMACY"</f>
        <v>VALLEY PHARMACY</v>
      </c>
      <c r="B570" t="str">
        <f t="shared" si="52"/>
        <v>Pharmacy</v>
      </c>
      <c r="C570" t="str">
        <f>"74 PERSHING DRIVE STE 1B"</f>
        <v>74 PERSHING DRIVE STE 1B</v>
      </c>
      <c r="D570" t="str">
        <f>""</f>
        <v/>
      </c>
      <c r="E570" t="str">
        <f>"DERBY"</f>
        <v>DERBY</v>
      </c>
      <c r="F570" t="str">
        <f t="shared" si="56"/>
        <v>CT</v>
      </c>
      <c r="G570" t="str">
        <f>"06418"</f>
        <v>06418</v>
      </c>
      <c r="H570" t="str">
        <f>"2037349455"</f>
        <v>2037349455</v>
      </c>
      <c r="I570" t="str">
        <f>"ENGLISH"</f>
        <v>ENGLISH</v>
      </c>
    </row>
    <row r="571" spans="1:9" x14ac:dyDescent="0.3">
      <c r="A571" t="str">
        <f>"VALLEY PHARMACY SEYMOUR LLC"</f>
        <v>VALLEY PHARMACY SEYMOUR LLC</v>
      </c>
      <c r="B571" t="str">
        <f t="shared" si="52"/>
        <v>Pharmacy</v>
      </c>
      <c r="C571" t="str">
        <f>"39 NEW HAVEN RD"</f>
        <v>39 NEW HAVEN RD</v>
      </c>
      <c r="D571" t="str">
        <f>"STE 12"</f>
        <v>STE 12</v>
      </c>
      <c r="E571" t="str">
        <f>"SEYMOUR"</f>
        <v>SEYMOUR</v>
      </c>
      <c r="F571" t="str">
        <f t="shared" si="56"/>
        <v>CT</v>
      </c>
      <c r="G571" t="str">
        <f>"06483"</f>
        <v>06483</v>
      </c>
      <c r="H571" t="str">
        <f>"2035873133"</f>
        <v>2035873133</v>
      </c>
      <c r="I571" t="str">
        <f>"ENGLISH"</f>
        <v>ENGLISH</v>
      </c>
    </row>
    <row r="572" spans="1:9" x14ac:dyDescent="0.3">
      <c r="A572" t="str">
        <f>"VALUE HEALTH CARE SERVICES LLC"</f>
        <v>VALUE HEALTH CARE SERVICES LLC</v>
      </c>
      <c r="B572" t="str">
        <f t="shared" si="52"/>
        <v>Pharmacy</v>
      </c>
      <c r="C572" t="str">
        <f>"525 KNOTTER DRIVE"</f>
        <v>525 KNOTTER DRIVE</v>
      </c>
      <c r="D572" t="str">
        <f>""</f>
        <v/>
      </c>
      <c r="E572" t="str">
        <f>"CHESHIRE"</f>
        <v>CHESHIRE</v>
      </c>
      <c r="F572" t="str">
        <f t="shared" si="56"/>
        <v>CT</v>
      </c>
      <c r="G572" t="str">
        <f>"06410"</f>
        <v>06410</v>
      </c>
      <c r="H572" t="str">
        <f>"2032723856"</f>
        <v>2032723856</v>
      </c>
      <c r="I572" t="str">
        <f>"ENGLISH"</f>
        <v>ENGLISH</v>
      </c>
    </row>
    <row r="573" spans="1:9" x14ac:dyDescent="0.3">
      <c r="A573" t="str">
        <f>"VISELS PHARMACY"</f>
        <v>VISELS PHARMACY</v>
      </c>
      <c r="B573" t="str">
        <f t="shared" si="52"/>
        <v>Pharmacy</v>
      </c>
      <c r="C573" t="str">
        <f>"714 DIXWELL AVE"</f>
        <v>714 DIXWELL AVE</v>
      </c>
      <c r="D573" t="str">
        <f>""</f>
        <v/>
      </c>
      <c r="E573" t="str">
        <f>"NEW HAVEN"</f>
        <v>NEW HAVEN</v>
      </c>
      <c r="F573" t="str">
        <f t="shared" si="56"/>
        <v>CT</v>
      </c>
      <c r="G573" t="str">
        <f>"06511"</f>
        <v>06511</v>
      </c>
      <c r="H573" t="str">
        <f>"2035626878"</f>
        <v>2035626878</v>
      </c>
      <c r="I573" t="str">
        <f>"ENGLISH"</f>
        <v>ENGLISH</v>
      </c>
    </row>
    <row r="574" spans="1:9" x14ac:dyDescent="0.3">
      <c r="A574" t="str">
        <f>"VISMAR INC DBA PALMER PROFESSIONAL PHARMACY"</f>
        <v>VISMAR INC DBA PALMER PROFESSIONAL PHARMACY</v>
      </c>
      <c r="B574" t="str">
        <f t="shared" si="52"/>
        <v>Pharmacy</v>
      </c>
      <c r="C574" t="str">
        <f>"49 LAKE AVENUE"</f>
        <v>49 LAKE AVENUE</v>
      </c>
      <c r="D574" t="str">
        <f>""</f>
        <v/>
      </c>
      <c r="E574" t="str">
        <f>"GREENWICH"</f>
        <v>GREENWICH</v>
      </c>
      <c r="F574" t="str">
        <f t="shared" si="56"/>
        <v>CT</v>
      </c>
      <c r="G574" t="str">
        <f>"06830"</f>
        <v>06830</v>
      </c>
      <c r="H574" t="str">
        <f>"2038695700"</f>
        <v>2038695700</v>
      </c>
      <c r="I574" t="str">
        <f>"ENGLISH"</f>
        <v>ENGLISH</v>
      </c>
    </row>
    <row r="575" spans="1:9" x14ac:dyDescent="0.3">
      <c r="A575" t="str">
        <f>"W H PICKETT DRUG CO"</f>
        <v>W H PICKETT DRUG CO</v>
      </c>
      <c r="B575" t="str">
        <f t="shared" si="52"/>
        <v>Pharmacy</v>
      </c>
      <c r="C575" t="str">
        <f>"675 NORTH MAIN ST"</f>
        <v>675 NORTH MAIN ST</v>
      </c>
      <c r="D575" t="str">
        <f>""</f>
        <v/>
      </c>
      <c r="E575" t="str">
        <f>"WATERBURY"</f>
        <v>WATERBURY</v>
      </c>
      <c r="F575" t="str">
        <f t="shared" si="56"/>
        <v>CT</v>
      </c>
      <c r="G575" t="str">
        <f>"06704"</f>
        <v>06704</v>
      </c>
      <c r="H575" t="str">
        <f>"2037535158"</f>
        <v>2037535158</v>
      </c>
      <c r="I575" t="str">
        <f>"ENGLISH;SPANISH"</f>
        <v>ENGLISH;SPANISH</v>
      </c>
    </row>
    <row r="576" spans="1:9" x14ac:dyDescent="0.3">
      <c r="A576" t="str">
        <f>"WAL-MART STORES EAST LP"</f>
        <v>WAL-MART STORES EAST LP</v>
      </c>
      <c r="B576" t="str">
        <f t="shared" si="52"/>
        <v>Pharmacy</v>
      </c>
      <c r="C576" t="str">
        <f>"2300 DIXWELL AVE"</f>
        <v>2300 DIXWELL AVE</v>
      </c>
      <c r="D576" t="str">
        <f>"WALMART PHARMACY 10-3545"</f>
        <v>WALMART PHARMACY 10-3545</v>
      </c>
      <c r="E576" t="str">
        <f>"HAMDEN"</f>
        <v>HAMDEN</v>
      </c>
      <c r="F576" t="str">
        <f t="shared" si="56"/>
        <v>CT</v>
      </c>
      <c r="G576" t="str">
        <f>"06514"</f>
        <v>06514</v>
      </c>
      <c r="H576" t="str">
        <f>"2032302841"</f>
        <v>2032302841</v>
      </c>
      <c r="I576" t="str">
        <f t="shared" ref="I576:I602" si="57">"CHINESE;ENGLISH;POLISH;PORTUGUESE;RUSSIAN;SPANISH"</f>
        <v>CHINESE;ENGLISH;POLISH;PORTUGUESE;RUSSIAN;SPANISH</v>
      </c>
    </row>
    <row r="577" spans="1:9" x14ac:dyDescent="0.3">
      <c r="A577" t="str">
        <f t="shared" ref="A577:A602" si="58">"WAL-MART STORES EAST, LP"</f>
        <v>WAL-MART STORES EAST, LP</v>
      </c>
      <c r="B577" t="str">
        <f t="shared" si="52"/>
        <v>Pharmacy</v>
      </c>
      <c r="C577" t="str">
        <f>"515 SAW MILL RD"</f>
        <v>515 SAW MILL RD</v>
      </c>
      <c r="D577" t="str">
        <f>"WALMART PHARMACY 10-3803"</f>
        <v>WALMART PHARMACY 10-3803</v>
      </c>
      <c r="E577" t="str">
        <f>"WEST HAVEN"</f>
        <v>WEST HAVEN</v>
      </c>
      <c r="F577" t="str">
        <f t="shared" si="56"/>
        <v>CT</v>
      </c>
      <c r="G577" t="str">
        <f>"06516"</f>
        <v>06516</v>
      </c>
      <c r="H577" t="str">
        <f>"2039312221"</f>
        <v>2039312221</v>
      </c>
      <c r="I577" t="str">
        <f t="shared" si="57"/>
        <v>CHINESE;ENGLISH;POLISH;PORTUGUESE;RUSSIAN;SPANISH</v>
      </c>
    </row>
    <row r="578" spans="1:9" x14ac:dyDescent="0.3">
      <c r="A578" t="str">
        <f t="shared" si="58"/>
        <v>WAL-MART STORES EAST, LP</v>
      </c>
      <c r="B578" t="str">
        <f t="shared" ref="B578:B641" si="59">"Pharmacy"</f>
        <v>Pharmacy</v>
      </c>
      <c r="C578" t="str">
        <f>"3164 BERLIN TURNPIKE"</f>
        <v>3164 BERLIN TURNPIKE</v>
      </c>
      <c r="D578" t="str">
        <f>"WALMART PHARMACY 10-2965"</f>
        <v>WALMART PHARMACY 10-2965</v>
      </c>
      <c r="E578" t="str">
        <f>"NEWINGTON"</f>
        <v>NEWINGTON</v>
      </c>
      <c r="F578" t="str">
        <f t="shared" si="56"/>
        <v>CT</v>
      </c>
      <c r="G578" t="str">
        <f>"06111"</f>
        <v>06111</v>
      </c>
      <c r="H578" t="str">
        <f>"8606670152"</f>
        <v>8606670152</v>
      </c>
      <c r="I578" t="str">
        <f t="shared" si="57"/>
        <v>CHINESE;ENGLISH;POLISH;PORTUGUESE;RUSSIAN;SPANISH</v>
      </c>
    </row>
    <row r="579" spans="1:9" x14ac:dyDescent="0.3">
      <c r="A579" t="str">
        <f t="shared" si="58"/>
        <v>WAL-MART STORES EAST, LP</v>
      </c>
      <c r="B579" t="str">
        <f t="shared" si="59"/>
        <v>Pharmacy</v>
      </c>
      <c r="C579" t="str">
        <f>"150 BARNUM AVENUE CUTOFF"</f>
        <v>150 BARNUM AVENUE CUTOFF</v>
      </c>
      <c r="D579" t="str">
        <f>"WALMART PHARMACY 10-2585"</f>
        <v>WALMART PHARMACY 10-2585</v>
      </c>
      <c r="E579" t="str">
        <f>"STRATFORD"</f>
        <v>STRATFORD</v>
      </c>
      <c r="F579" t="str">
        <f t="shared" si="56"/>
        <v>CT</v>
      </c>
      <c r="G579" t="str">
        <f>"06614"</f>
        <v>06614</v>
      </c>
      <c r="H579" t="str">
        <f>"2035027629"</f>
        <v>2035027629</v>
      </c>
      <c r="I579" t="str">
        <f t="shared" si="57"/>
        <v>CHINESE;ENGLISH;POLISH;PORTUGUESE;RUSSIAN;SPANISH</v>
      </c>
    </row>
    <row r="580" spans="1:9" x14ac:dyDescent="0.3">
      <c r="A580" t="str">
        <f t="shared" si="58"/>
        <v>WAL-MART STORES EAST, LP</v>
      </c>
      <c r="B580" t="str">
        <f t="shared" si="59"/>
        <v>Pharmacy</v>
      </c>
      <c r="C580" t="str">
        <f>"67 NEWTON RD"</f>
        <v>67 NEWTON RD</v>
      </c>
      <c r="D580" t="str">
        <f>"WALMART PHARMACY 10-3543"</f>
        <v>WALMART PHARMACY 10-3543</v>
      </c>
      <c r="E580" t="str">
        <f>"DANBURY"</f>
        <v>DANBURY</v>
      </c>
      <c r="F580" t="str">
        <f t="shared" si="56"/>
        <v>CT</v>
      </c>
      <c r="G580" t="str">
        <f>"06810"</f>
        <v>06810</v>
      </c>
      <c r="H580" t="str">
        <f>"2037918178"</f>
        <v>2037918178</v>
      </c>
      <c r="I580" t="str">
        <f t="shared" si="57"/>
        <v>CHINESE;ENGLISH;POLISH;PORTUGUESE;RUSSIAN;SPANISH</v>
      </c>
    </row>
    <row r="581" spans="1:9" x14ac:dyDescent="0.3">
      <c r="A581" t="str">
        <f t="shared" si="58"/>
        <v>WAL-MART STORES EAST, LP</v>
      </c>
      <c r="B581" t="str">
        <f t="shared" si="59"/>
        <v>Pharmacy</v>
      </c>
      <c r="C581" t="str">
        <f>"665 BOSTON POST ROAD"</f>
        <v>665 BOSTON POST ROAD</v>
      </c>
      <c r="D581" t="str">
        <f>"WALMART PHARMACY 10-2898"</f>
        <v>WALMART PHARMACY 10-2898</v>
      </c>
      <c r="E581" t="str">
        <f>"OLD SAYBROOK"</f>
        <v>OLD SAYBROOK</v>
      </c>
      <c r="F581" t="str">
        <f t="shared" si="56"/>
        <v>CT</v>
      </c>
      <c r="G581" t="str">
        <f>"06475"</f>
        <v>06475</v>
      </c>
      <c r="H581" t="str">
        <f>"8603880560"</f>
        <v>8603880560</v>
      </c>
      <c r="I581" t="str">
        <f t="shared" si="57"/>
        <v>CHINESE;ENGLISH;POLISH;PORTUGUESE;RUSSIAN;SPANISH</v>
      </c>
    </row>
    <row r="582" spans="1:9" x14ac:dyDescent="0.3">
      <c r="A582" t="str">
        <f t="shared" si="58"/>
        <v>WAL-MART STORES EAST, LP</v>
      </c>
      <c r="B582" t="str">
        <f t="shared" si="59"/>
        <v>Pharmacy</v>
      </c>
      <c r="C582" t="str">
        <f>"1365 BOSTON POST RD"</f>
        <v>1365 BOSTON POST RD</v>
      </c>
      <c r="D582" t="str">
        <f>"WALMART PHARMACY 10-5294"</f>
        <v>WALMART PHARMACY 10-5294</v>
      </c>
      <c r="E582" t="str">
        <f>"MILFORD"</f>
        <v>MILFORD</v>
      </c>
      <c r="F582" t="str">
        <f t="shared" si="56"/>
        <v>CT</v>
      </c>
      <c r="G582" t="str">
        <f>"06460"</f>
        <v>06460</v>
      </c>
      <c r="H582" t="str">
        <f>"2033010570"</f>
        <v>2033010570</v>
      </c>
      <c r="I582" t="str">
        <f t="shared" si="57"/>
        <v>CHINESE;ENGLISH;POLISH;PORTUGUESE;RUSSIAN;SPANISH</v>
      </c>
    </row>
    <row r="583" spans="1:9" x14ac:dyDescent="0.3">
      <c r="A583" t="str">
        <f t="shared" si="58"/>
        <v>WAL-MART STORES EAST, LP</v>
      </c>
      <c r="B583" t="str">
        <f t="shared" si="59"/>
        <v>Pharmacy</v>
      </c>
      <c r="C583" t="str">
        <f>"255 WEST MAIN ST"</f>
        <v>255 WEST MAIN ST</v>
      </c>
      <c r="D583" t="str">
        <f>"WALMART PHARMACY 10-2899"</f>
        <v>WALMART PHARMACY 10-2899</v>
      </c>
      <c r="E583" t="str">
        <f>"AVON"</f>
        <v>AVON</v>
      </c>
      <c r="F583" t="str">
        <f t="shared" si="56"/>
        <v>CT</v>
      </c>
      <c r="G583" t="str">
        <f>"06001"</f>
        <v>06001</v>
      </c>
      <c r="H583" t="str">
        <f>"8604090406"</f>
        <v>8604090406</v>
      </c>
      <c r="I583" t="str">
        <f t="shared" si="57"/>
        <v>CHINESE;ENGLISH;POLISH;PORTUGUESE;RUSSIAN;SPANISH</v>
      </c>
    </row>
    <row r="584" spans="1:9" x14ac:dyDescent="0.3">
      <c r="A584" t="str">
        <f t="shared" si="58"/>
        <v>WAL-MART STORES EAST, LP</v>
      </c>
      <c r="B584" t="str">
        <f t="shared" si="59"/>
        <v>Pharmacy</v>
      </c>
      <c r="C584" t="str">
        <f>"1400 FARMINGTON AVENUE"</f>
        <v>1400 FARMINGTON AVENUE</v>
      </c>
      <c r="D584" t="str">
        <f>"WALMART PHARMACY 10-2719"</f>
        <v>WALMART PHARMACY 10-2719</v>
      </c>
      <c r="E584" t="str">
        <f>"BRISTOL"</f>
        <v>BRISTOL</v>
      </c>
      <c r="F584" t="str">
        <f t="shared" si="56"/>
        <v>CT</v>
      </c>
      <c r="G584" t="str">
        <f>"06010"</f>
        <v>06010</v>
      </c>
      <c r="H584" t="str">
        <f>"8605851103"</f>
        <v>8605851103</v>
      </c>
      <c r="I584" t="str">
        <f t="shared" si="57"/>
        <v>CHINESE;ENGLISH;POLISH;PORTUGUESE;RUSSIAN;SPANISH</v>
      </c>
    </row>
    <row r="585" spans="1:9" x14ac:dyDescent="0.3">
      <c r="A585" t="str">
        <f t="shared" si="58"/>
        <v>WAL-MART STORES EAST, LP</v>
      </c>
      <c r="B585" t="str">
        <f t="shared" si="59"/>
        <v>Pharmacy</v>
      </c>
      <c r="C585" t="str">
        <f>"495 FLATBUSH AVE"</f>
        <v>495 FLATBUSH AVE</v>
      </c>
      <c r="D585" t="str">
        <f>"WAL-MART PHARMACY 10-5095"</f>
        <v>WAL-MART PHARMACY 10-5095</v>
      </c>
      <c r="E585" t="str">
        <f>"HARTFORD"</f>
        <v>HARTFORD</v>
      </c>
      <c r="F585" t="str">
        <f t="shared" si="56"/>
        <v>CT</v>
      </c>
      <c r="G585" t="str">
        <f>"06106"</f>
        <v>06106</v>
      </c>
      <c r="H585" t="str">
        <f>"8609530725"</f>
        <v>8609530725</v>
      </c>
      <c r="I585" t="str">
        <f t="shared" si="57"/>
        <v>CHINESE;ENGLISH;POLISH;PORTUGUESE;RUSSIAN;SPANISH</v>
      </c>
    </row>
    <row r="586" spans="1:9" x14ac:dyDescent="0.3">
      <c r="A586" t="str">
        <f t="shared" si="58"/>
        <v>WAL-MART STORES EAST, LP</v>
      </c>
      <c r="B586" t="str">
        <f t="shared" si="59"/>
        <v>Pharmacy</v>
      </c>
      <c r="C586" t="str">
        <f>"450 PROVIDENCE RD"</f>
        <v>450 PROVIDENCE RD</v>
      </c>
      <c r="D586" t="str">
        <f>"WALMART PHARMACY 10-5777"</f>
        <v>WALMART PHARMACY 10-5777</v>
      </c>
      <c r="E586" t="str">
        <f>"BROOKLYN"</f>
        <v>BROOKLYN</v>
      </c>
      <c r="F586" t="str">
        <f t="shared" si="56"/>
        <v>CT</v>
      </c>
      <c r="G586" t="str">
        <f>"06234"</f>
        <v>06234</v>
      </c>
      <c r="H586" t="str">
        <f>"8604125144"</f>
        <v>8604125144</v>
      </c>
      <c r="I586" t="str">
        <f t="shared" si="57"/>
        <v>CHINESE;ENGLISH;POLISH;PORTUGUESE;RUSSIAN;SPANISH</v>
      </c>
    </row>
    <row r="587" spans="1:9" x14ac:dyDescent="0.3">
      <c r="A587" t="str">
        <f t="shared" si="58"/>
        <v>WAL-MART STORES EAST, LP</v>
      </c>
      <c r="B587" t="str">
        <f t="shared" si="59"/>
        <v>Pharmacy</v>
      </c>
      <c r="C587" t="str">
        <f>"420 BUCKLAND HILLS DR"</f>
        <v>420 BUCKLAND HILLS DR</v>
      </c>
      <c r="D587" t="str">
        <f>"DBA WAL-MART PHARMACY 10-1891"</f>
        <v>DBA WAL-MART PHARMACY 10-1891</v>
      </c>
      <c r="E587" t="str">
        <f>"MANCHESTER"</f>
        <v>MANCHESTER</v>
      </c>
      <c r="F587" t="str">
        <f t="shared" si="56"/>
        <v>CT</v>
      </c>
      <c r="G587" t="str">
        <f>"06042"</f>
        <v>06042</v>
      </c>
      <c r="H587" t="str">
        <f>"8606445105"</f>
        <v>8606445105</v>
      </c>
      <c r="I587" t="str">
        <f t="shared" si="57"/>
        <v>CHINESE;ENGLISH;POLISH;PORTUGUESE;RUSSIAN;SPANISH</v>
      </c>
    </row>
    <row r="588" spans="1:9" x14ac:dyDescent="0.3">
      <c r="A588" t="str">
        <f t="shared" si="58"/>
        <v>WAL-MART STORES EAST, LP</v>
      </c>
      <c r="B588" t="str">
        <f t="shared" si="59"/>
        <v>Pharmacy</v>
      </c>
      <c r="C588" t="str">
        <f>"150 GOLD STAR HWY"</f>
        <v>150 GOLD STAR HWY</v>
      </c>
      <c r="D588" t="str">
        <f>"WALMART PHARMACY 10-2200"</f>
        <v>WALMART PHARMACY 10-2200</v>
      </c>
      <c r="E588" t="str">
        <f>"GROTON"</f>
        <v>GROTON</v>
      </c>
      <c r="F588" t="str">
        <f t="shared" si="56"/>
        <v>CT</v>
      </c>
      <c r="G588" t="str">
        <f>"06340"</f>
        <v>06340</v>
      </c>
      <c r="H588" t="str">
        <f>"8604496902"</f>
        <v>8604496902</v>
      </c>
      <c r="I588" t="str">
        <f t="shared" si="57"/>
        <v>CHINESE;ENGLISH;POLISH;PORTUGUESE;RUSSIAN;SPANISH</v>
      </c>
    </row>
    <row r="589" spans="1:9" x14ac:dyDescent="0.3">
      <c r="A589" t="str">
        <f t="shared" si="58"/>
        <v>WAL-MART STORES EAST, LP</v>
      </c>
      <c r="B589" t="str">
        <f t="shared" si="59"/>
        <v>Pharmacy</v>
      </c>
      <c r="C589" t="str">
        <f>"625 SCHOOL ST"</f>
        <v>625 SCHOOL ST</v>
      </c>
      <c r="D589" t="str">
        <f>"DBA  WALMART PHARMACY 10-1980"</f>
        <v>DBA  WALMART PHARMACY 10-1980</v>
      </c>
      <c r="E589" t="str">
        <f>"PUTNAM"</f>
        <v>PUTNAM</v>
      </c>
      <c r="F589" t="str">
        <f t="shared" si="56"/>
        <v>CT</v>
      </c>
      <c r="G589" t="str">
        <f>"06260"</f>
        <v>06260</v>
      </c>
      <c r="H589" t="str">
        <f>"8609284199"</f>
        <v>8609284199</v>
      </c>
      <c r="I589" t="str">
        <f t="shared" si="57"/>
        <v>CHINESE;ENGLISH;POLISH;PORTUGUESE;RUSSIAN;SPANISH</v>
      </c>
    </row>
    <row r="590" spans="1:9" x14ac:dyDescent="0.3">
      <c r="A590" t="str">
        <f t="shared" si="58"/>
        <v>WAL-MART STORES EAST, LP</v>
      </c>
      <c r="B590" t="str">
        <f t="shared" si="59"/>
        <v>Pharmacy</v>
      </c>
      <c r="C590" t="str">
        <f>"844 N COLONY RD"</f>
        <v>844 N COLONY RD</v>
      </c>
      <c r="D590" t="str">
        <f>"DBA WALMART PHARMACY 10-2371"</f>
        <v>DBA WALMART PHARMACY 10-2371</v>
      </c>
      <c r="E590" t="str">
        <f>"WALLINGFORD"</f>
        <v>WALLINGFORD</v>
      </c>
      <c r="F590" t="str">
        <f t="shared" si="56"/>
        <v>CT</v>
      </c>
      <c r="G590" t="str">
        <f>"06492"</f>
        <v>06492</v>
      </c>
      <c r="H590" t="str">
        <f>"2032696633"</f>
        <v>2032696633</v>
      </c>
      <c r="I590" t="str">
        <f t="shared" si="57"/>
        <v>CHINESE;ENGLISH;POLISH;PORTUGUESE;RUSSIAN;SPANISH</v>
      </c>
    </row>
    <row r="591" spans="1:9" x14ac:dyDescent="0.3">
      <c r="A591" t="str">
        <f t="shared" si="58"/>
        <v>WAL-MART STORES EAST, LP</v>
      </c>
      <c r="B591" t="str">
        <f t="shared" si="59"/>
        <v>Pharmacy</v>
      </c>
      <c r="C591" t="str">
        <f>"44 PROSPECT HILL RD"</f>
        <v>44 PROSPECT HILL RD</v>
      </c>
      <c r="D591" t="str">
        <f>"WALMART PHARMACY 10-2282"</f>
        <v>WALMART PHARMACY 10-2282</v>
      </c>
      <c r="E591" t="str">
        <f>"EAST WINDSOR"</f>
        <v>EAST WINDSOR</v>
      </c>
      <c r="F591" t="str">
        <f t="shared" si="56"/>
        <v>CT</v>
      </c>
      <c r="G591" t="str">
        <f>"06088"</f>
        <v>06088</v>
      </c>
      <c r="H591" t="str">
        <f>"8602921573"</f>
        <v>8602921573</v>
      </c>
      <c r="I591" t="str">
        <f t="shared" si="57"/>
        <v>CHINESE;ENGLISH;POLISH;PORTUGUESE;RUSSIAN;SPANISH</v>
      </c>
    </row>
    <row r="592" spans="1:9" x14ac:dyDescent="0.3">
      <c r="A592" t="str">
        <f t="shared" si="58"/>
        <v>WAL-MART STORES EAST, LP</v>
      </c>
      <c r="B592" t="str">
        <f t="shared" si="59"/>
        <v>Pharmacy</v>
      </c>
      <c r="C592" t="str">
        <f>"161 BERLIN ROAD"</f>
        <v>161 BERLIN ROAD</v>
      </c>
      <c r="D592" t="str">
        <f>"WALMART PHARMACY 10-2299"</f>
        <v>WALMART PHARMACY 10-2299</v>
      </c>
      <c r="E592" t="str">
        <f>"CROMWELL"</f>
        <v>CROMWELL</v>
      </c>
      <c r="F592" t="str">
        <f t="shared" si="56"/>
        <v>CT</v>
      </c>
      <c r="G592" t="str">
        <f>"06416"</f>
        <v>06416</v>
      </c>
      <c r="H592" t="str">
        <f>"8606351507"</f>
        <v>8606351507</v>
      </c>
      <c r="I592" t="str">
        <f t="shared" si="57"/>
        <v>CHINESE;ENGLISH;POLISH;PORTUGUESE;RUSSIAN;SPANISH</v>
      </c>
    </row>
    <row r="593" spans="1:9" x14ac:dyDescent="0.3">
      <c r="A593" t="str">
        <f t="shared" si="58"/>
        <v>WAL-MART STORES EAST, LP</v>
      </c>
      <c r="B593" t="str">
        <f t="shared" si="59"/>
        <v>Pharmacy</v>
      </c>
      <c r="C593" t="str">
        <f>"120 COMMERCIAL PARKWAY"</f>
        <v>120 COMMERCIAL PARKWAY</v>
      </c>
      <c r="D593" t="str">
        <f>"WALMART PHARMACY 10-2232"</f>
        <v>WALMART PHARMACY 10-2232</v>
      </c>
      <c r="E593" t="str">
        <f>"BRANFORD"</f>
        <v>BRANFORD</v>
      </c>
      <c r="F593" t="str">
        <f t="shared" ref="F593:F624" si="60">"CT"</f>
        <v>CT</v>
      </c>
      <c r="G593" t="str">
        <f>"06405"</f>
        <v>06405</v>
      </c>
      <c r="H593" t="str">
        <f>"2034883914"</f>
        <v>2034883914</v>
      </c>
      <c r="I593" t="str">
        <f t="shared" si="57"/>
        <v>CHINESE;ENGLISH;POLISH;PORTUGUESE;RUSSIAN;SPANISH</v>
      </c>
    </row>
    <row r="594" spans="1:9" x14ac:dyDescent="0.3">
      <c r="A594" t="str">
        <f t="shared" si="58"/>
        <v>WAL-MART STORES EAST, LP</v>
      </c>
      <c r="B594" t="str">
        <f t="shared" si="59"/>
        <v>Pharmacy</v>
      </c>
      <c r="C594" t="str">
        <f>"1100 NEW HAVEN RD"</f>
        <v>1100 NEW HAVEN RD</v>
      </c>
      <c r="D594" t="str">
        <f>"WALMART PHARMACY 10-2284"</f>
        <v>WALMART PHARMACY 10-2284</v>
      </c>
      <c r="E594" t="str">
        <f>"NAUGATUCK"</f>
        <v>NAUGATUCK</v>
      </c>
      <c r="F594" t="str">
        <f t="shared" si="60"/>
        <v>CT</v>
      </c>
      <c r="G594" t="str">
        <f>"06770"</f>
        <v>06770</v>
      </c>
      <c r="H594" t="str">
        <f>"2037292288"</f>
        <v>2037292288</v>
      </c>
      <c r="I594" t="str">
        <f t="shared" si="57"/>
        <v>CHINESE;ENGLISH;POLISH;PORTUGUESE;RUSSIAN;SPANISH</v>
      </c>
    </row>
    <row r="595" spans="1:9" x14ac:dyDescent="0.3">
      <c r="A595" t="str">
        <f t="shared" si="58"/>
        <v>WAL-MART STORES EAST, LP</v>
      </c>
      <c r="B595" t="str">
        <f t="shared" si="59"/>
        <v>Pharmacy</v>
      </c>
      <c r="C595" t="str">
        <f>"235 QUEEN STREET"</f>
        <v>235 QUEEN STREET</v>
      </c>
      <c r="D595" t="str">
        <f>"WALMART PHARMACY 10-2897"</f>
        <v>WALMART PHARMACY 10-2897</v>
      </c>
      <c r="E595" t="str">
        <f>"SOUTHINGTON"</f>
        <v>SOUTHINGTON</v>
      </c>
      <c r="F595" t="str">
        <f t="shared" si="60"/>
        <v>CT</v>
      </c>
      <c r="G595" t="str">
        <f>"06489"</f>
        <v>06489</v>
      </c>
      <c r="H595" t="str">
        <f>"8606219830"</f>
        <v>8606219830</v>
      </c>
      <c r="I595" t="str">
        <f t="shared" si="57"/>
        <v>CHINESE;ENGLISH;POLISH;PORTUGUESE;RUSSIAN;SPANISH</v>
      </c>
    </row>
    <row r="596" spans="1:9" x14ac:dyDescent="0.3">
      <c r="A596" t="str">
        <f t="shared" si="58"/>
        <v>WAL-MART STORES EAST, LP</v>
      </c>
      <c r="B596" t="str">
        <f t="shared" si="59"/>
        <v>Pharmacy</v>
      </c>
      <c r="C596" t="str">
        <f>"465 BRIDGEPORT AVE"</f>
        <v>465 BRIDGEPORT AVE</v>
      </c>
      <c r="D596" t="str">
        <f>"WALMART PHARMACY 10-2163"</f>
        <v>WALMART PHARMACY 10-2163</v>
      </c>
      <c r="E596" t="str">
        <f>"SHELTON"</f>
        <v>SHELTON</v>
      </c>
      <c r="F596" t="str">
        <f t="shared" si="60"/>
        <v>CT</v>
      </c>
      <c r="G596" t="str">
        <f>"06484"</f>
        <v>06484</v>
      </c>
      <c r="H596" t="str">
        <f>"2039291144"</f>
        <v>2039291144</v>
      </c>
      <c r="I596" t="str">
        <f t="shared" si="57"/>
        <v>CHINESE;ENGLISH;POLISH;PORTUGUESE;RUSSIAN;SPANISH</v>
      </c>
    </row>
    <row r="597" spans="1:9" x14ac:dyDescent="0.3">
      <c r="A597" t="str">
        <f t="shared" si="58"/>
        <v>WAL-MART STORES EAST, LP</v>
      </c>
      <c r="B597" t="str">
        <f t="shared" si="59"/>
        <v>Pharmacy</v>
      </c>
      <c r="C597" t="str">
        <f>"155 PARKWAY N"</f>
        <v>155 PARKWAY N</v>
      </c>
      <c r="D597" t="str">
        <f>"WALMART PHARMACY 10-2331"</f>
        <v>WALMART PHARMACY 10-2331</v>
      </c>
      <c r="E597" t="str">
        <f>"WATERFORD"</f>
        <v>WATERFORD</v>
      </c>
      <c r="F597" t="str">
        <f t="shared" si="60"/>
        <v>CT</v>
      </c>
      <c r="G597" t="str">
        <f>"06385"</f>
        <v>06385</v>
      </c>
      <c r="H597" t="str">
        <f>"8604473747"</f>
        <v>8604473747</v>
      </c>
      <c r="I597" t="str">
        <f t="shared" si="57"/>
        <v>CHINESE;ENGLISH;POLISH;PORTUGUESE;RUSSIAN;SPANISH</v>
      </c>
    </row>
    <row r="598" spans="1:9" x14ac:dyDescent="0.3">
      <c r="A598" t="str">
        <f t="shared" si="58"/>
        <v>WAL-MART STORES EAST, LP</v>
      </c>
      <c r="B598" t="str">
        <f t="shared" si="59"/>
        <v>Pharmacy</v>
      </c>
      <c r="C598" t="str">
        <f>"970 TORRINGFORD ST"</f>
        <v>970 TORRINGFORD ST</v>
      </c>
      <c r="D598" t="str">
        <f>"WALMART PHARMACY 10-2144"</f>
        <v>WALMART PHARMACY 10-2144</v>
      </c>
      <c r="E598" t="str">
        <f>"TORRINGTON"</f>
        <v>TORRINGTON</v>
      </c>
      <c r="F598" t="str">
        <f t="shared" si="60"/>
        <v>CT</v>
      </c>
      <c r="G598" t="str">
        <f>"06790"</f>
        <v>06790</v>
      </c>
      <c r="H598" t="str">
        <f>"8604969193"</f>
        <v>8604969193</v>
      </c>
      <c r="I598" t="str">
        <f t="shared" si="57"/>
        <v>CHINESE;ENGLISH;POLISH;PORTUGUESE;RUSSIAN;SPANISH</v>
      </c>
    </row>
    <row r="599" spans="1:9" x14ac:dyDescent="0.3">
      <c r="A599" t="str">
        <f t="shared" si="58"/>
        <v>WAL-MART STORES EAST, LP</v>
      </c>
      <c r="B599" t="str">
        <f t="shared" si="59"/>
        <v>Pharmacy</v>
      </c>
      <c r="C599" t="str">
        <f>"910 WOLCOTT STREET"</f>
        <v>910 WOLCOTT STREET</v>
      </c>
      <c r="D599" t="str">
        <f>"WALMART PHARMACY 10-3548"</f>
        <v>WALMART PHARMACY 10-3548</v>
      </c>
      <c r="E599" t="str">
        <f>"WATERBURY"</f>
        <v>WATERBURY</v>
      </c>
      <c r="F599" t="str">
        <f t="shared" si="60"/>
        <v>CT</v>
      </c>
      <c r="G599" t="str">
        <f>"06705"</f>
        <v>06705</v>
      </c>
      <c r="H599" t="str">
        <f>"2037591637"</f>
        <v>2037591637</v>
      </c>
      <c r="I599" t="str">
        <f t="shared" si="57"/>
        <v>CHINESE;ENGLISH;POLISH;PORTUGUESE;RUSSIAN;SPANISH</v>
      </c>
    </row>
    <row r="600" spans="1:9" x14ac:dyDescent="0.3">
      <c r="A600" t="str">
        <f t="shared" si="58"/>
        <v>WAL-MART STORES EAST, LP</v>
      </c>
      <c r="B600" t="str">
        <f t="shared" si="59"/>
        <v>Pharmacy</v>
      </c>
      <c r="C600" t="str">
        <f>"650 MAIN AVENUE"</f>
        <v>650 MAIN AVENUE</v>
      </c>
      <c r="D600" t="str">
        <f>"WALMART PHARMACY 10-2954"</f>
        <v>WALMART PHARMACY 10-2954</v>
      </c>
      <c r="E600" t="str">
        <f>"NORWALK"</f>
        <v>NORWALK</v>
      </c>
      <c r="F600" t="str">
        <f t="shared" si="60"/>
        <v>CT</v>
      </c>
      <c r="G600" t="str">
        <f>"06851"</f>
        <v>06851</v>
      </c>
      <c r="H600" t="str">
        <f>"2038468365"</f>
        <v>2038468365</v>
      </c>
      <c r="I600" t="str">
        <f t="shared" si="57"/>
        <v>CHINESE;ENGLISH;POLISH;PORTUGUESE;RUSSIAN;SPANISH</v>
      </c>
    </row>
    <row r="601" spans="1:9" x14ac:dyDescent="0.3">
      <c r="A601" t="str">
        <f t="shared" si="58"/>
        <v>WAL-MART STORES EAST, LP</v>
      </c>
      <c r="B601" t="str">
        <f t="shared" si="59"/>
        <v>Pharmacy</v>
      </c>
      <c r="C601" t="str">
        <f>"80 TOWN LINE ROAD"</f>
        <v>80 TOWN LINE ROAD</v>
      </c>
      <c r="D601" t="str">
        <f>"WALMART PHARMACY 10-2900"</f>
        <v>WALMART PHARMACY 10-2900</v>
      </c>
      <c r="E601" t="str">
        <f>"ROCKY HILL"</f>
        <v>ROCKY HILL</v>
      </c>
      <c r="F601" t="str">
        <f t="shared" si="60"/>
        <v>CT</v>
      </c>
      <c r="G601" t="str">
        <f>"06067"</f>
        <v>06067</v>
      </c>
      <c r="H601" t="str">
        <f>"8605634322"</f>
        <v>8605634322</v>
      </c>
      <c r="I601" t="str">
        <f t="shared" si="57"/>
        <v>CHINESE;ENGLISH;POLISH;PORTUGUESE;RUSSIAN;SPANISH</v>
      </c>
    </row>
    <row r="602" spans="1:9" x14ac:dyDescent="0.3">
      <c r="A602" t="str">
        <f t="shared" si="58"/>
        <v>WAL-MART STORES EAST, LP</v>
      </c>
      <c r="B602" t="str">
        <f t="shared" si="59"/>
        <v>Pharmacy</v>
      </c>
      <c r="C602" t="str">
        <f>"164 DANBURY ROAD"</f>
        <v>164 DANBURY ROAD</v>
      </c>
      <c r="D602" t="str">
        <f>"DBA WALMART PHARMACY 10-3546"</f>
        <v>DBA WALMART PHARMACY 10-3546</v>
      </c>
      <c r="E602" t="str">
        <f>"NEW MILFORD"</f>
        <v>NEW MILFORD</v>
      </c>
      <c r="F602" t="str">
        <f t="shared" si="60"/>
        <v>CT</v>
      </c>
      <c r="G602" t="str">
        <f>"06776"</f>
        <v>06776</v>
      </c>
      <c r="H602" t="str">
        <f>"8603504815"</f>
        <v>8603504815</v>
      </c>
      <c r="I602" t="str">
        <f t="shared" si="57"/>
        <v>CHINESE;ENGLISH;POLISH;PORTUGUESE;RUSSIAN;SPANISH</v>
      </c>
    </row>
    <row r="603" spans="1:9" x14ac:dyDescent="0.3">
      <c r="A603" t="str">
        <f>"WALGREEN EASTERN CO"</f>
        <v>WALGREEN EASTERN CO</v>
      </c>
      <c r="B603" t="str">
        <f t="shared" si="59"/>
        <v>Pharmacy</v>
      </c>
      <c r="C603" t="str">
        <f>"27 BROADWAY ST"</f>
        <v>27 BROADWAY ST</v>
      </c>
      <c r="D603" t="str">
        <f>""</f>
        <v/>
      </c>
      <c r="E603" t="str">
        <f>"COLCHESTER"</f>
        <v>COLCHESTER</v>
      </c>
      <c r="F603" t="str">
        <f t="shared" si="60"/>
        <v>CT</v>
      </c>
      <c r="G603" t="str">
        <f>"06415"</f>
        <v>06415</v>
      </c>
      <c r="H603" t="str">
        <f>"8605379034"</f>
        <v>8605379034</v>
      </c>
      <c r="I603" t="str">
        <f t="shared" ref="I603:I634" si="61">"ENGLISH"</f>
        <v>ENGLISH</v>
      </c>
    </row>
    <row r="604" spans="1:9" x14ac:dyDescent="0.3">
      <c r="A604" t="str">
        <f>"WALGREEN EASTERN CO   INC"</f>
        <v>WALGREEN EASTERN CO   INC</v>
      </c>
      <c r="B604" t="str">
        <f t="shared" si="59"/>
        <v>Pharmacy</v>
      </c>
      <c r="C604" t="str">
        <f>"1100 SILAS DEANE HWY"</f>
        <v>1100 SILAS DEANE HWY</v>
      </c>
      <c r="D604" t="str">
        <f>""</f>
        <v/>
      </c>
      <c r="E604" t="str">
        <f>"WETHERSFIELD"</f>
        <v>WETHERSFIELD</v>
      </c>
      <c r="F604" t="str">
        <f t="shared" si="60"/>
        <v>CT</v>
      </c>
      <c r="G604" t="str">
        <f>"06109"</f>
        <v>06109</v>
      </c>
      <c r="H604" t="str">
        <f>"8607217252"</f>
        <v>8607217252</v>
      </c>
      <c r="I604" t="str">
        <f t="shared" si="61"/>
        <v>ENGLISH</v>
      </c>
    </row>
    <row r="605" spans="1:9" x14ac:dyDescent="0.3">
      <c r="A605" t="str">
        <f>"WALGREEN EASTERN CO   INC"</f>
        <v>WALGREEN EASTERN CO   INC</v>
      </c>
      <c r="B605" t="str">
        <f t="shared" si="59"/>
        <v>Pharmacy</v>
      </c>
      <c r="C605" t="str">
        <f>"324 NORTH MAIN STREET"</f>
        <v>324 NORTH MAIN STREET</v>
      </c>
      <c r="D605" t="str">
        <f>""</f>
        <v/>
      </c>
      <c r="E605" t="str">
        <f>"WEST HARTFORD"</f>
        <v>WEST HARTFORD</v>
      </c>
      <c r="F605" t="str">
        <f t="shared" si="60"/>
        <v>CT</v>
      </c>
      <c r="G605" t="str">
        <f>"06117"</f>
        <v>06117</v>
      </c>
      <c r="H605" t="str">
        <f>"8602361955"</f>
        <v>8602361955</v>
      </c>
      <c r="I605" t="str">
        <f t="shared" si="61"/>
        <v>ENGLISH</v>
      </c>
    </row>
    <row r="606" spans="1:9" x14ac:dyDescent="0.3">
      <c r="A606" t="str">
        <f>"WALGREEN EASTERN CO   INC"</f>
        <v>WALGREEN EASTERN CO   INC</v>
      </c>
      <c r="B606" t="str">
        <f t="shared" si="59"/>
        <v>Pharmacy</v>
      </c>
      <c r="C606" t="str">
        <f>"295 MAIN STREET"</f>
        <v>295 MAIN STREET</v>
      </c>
      <c r="D606" t="str">
        <f>""</f>
        <v/>
      </c>
      <c r="E606" t="str">
        <f>"MANCHESTER"</f>
        <v>MANCHESTER</v>
      </c>
      <c r="F606" t="str">
        <f t="shared" si="60"/>
        <v>CT</v>
      </c>
      <c r="G606" t="str">
        <f>"06040"</f>
        <v>06040</v>
      </c>
      <c r="H606" t="str">
        <f>"8606498747"</f>
        <v>8606498747</v>
      </c>
      <c r="I606" t="str">
        <f t="shared" si="61"/>
        <v>ENGLISH</v>
      </c>
    </row>
    <row r="607" spans="1:9" x14ac:dyDescent="0.3">
      <c r="A607" t="str">
        <f>"WALGREEN EASTERN CO   INC"</f>
        <v>WALGREEN EASTERN CO   INC</v>
      </c>
      <c r="B607" t="str">
        <f t="shared" si="59"/>
        <v>Pharmacy</v>
      </c>
      <c r="C607" t="str">
        <f>"76 HEIGHTS ROAD"</f>
        <v>76 HEIGHTS ROAD</v>
      </c>
      <c r="D607" t="str">
        <f>""</f>
        <v/>
      </c>
      <c r="E607" t="str">
        <f>"DARIEN"</f>
        <v>DARIEN</v>
      </c>
      <c r="F607" t="str">
        <f t="shared" si="60"/>
        <v>CT</v>
      </c>
      <c r="G607" t="str">
        <f>"06820"</f>
        <v>06820</v>
      </c>
      <c r="H607" t="str">
        <f>"2036558904"</f>
        <v>2036558904</v>
      </c>
      <c r="I607" t="str">
        <f t="shared" si="61"/>
        <v>ENGLISH</v>
      </c>
    </row>
    <row r="608" spans="1:9" x14ac:dyDescent="0.3">
      <c r="A608" t="str">
        <f>"WALGREEN EASTERN CO   INC"</f>
        <v>WALGREEN EASTERN CO   INC</v>
      </c>
      <c r="B608" t="str">
        <f t="shared" si="59"/>
        <v>Pharmacy</v>
      </c>
      <c r="C608" t="str">
        <f>"329 EAST MAIN STREET"</f>
        <v>329 EAST MAIN STREET</v>
      </c>
      <c r="D608" t="str">
        <f>""</f>
        <v/>
      </c>
      <c r="E608" t="str">
        <f>"BRANFORD"</f>
        <v>BRANFORD</v>
      </c>
      <c r="F608" t="str">
        <f t="shared" si="60"/>
        <v>CT</v>
      </c>
      <c r="G608" t="str">
        <f>"06405"</f>
        <v>06405</v>
      </c>
      <c r="H608" t="str">
        <f>"2034810386"</f>
        <v>2034810386</v>
      </c>
      <c r="I608" t="str">
        <f t="shared" si="61"/>
        <v>ENGLISH</v>
      </c>
    </row>
    <row r="609" spans="1:9" x14ac:dyDescent="0.3">
      <c r="A609" t="str">
        <f t="shared" ref="A609:A640" si="62">"WALGREEN EASTERN CO INC"</f>
        <v>WALGREEN EASTERN CO INC</v>
      </c>
      <c r="B609" t="str">
        <f t="shared" si="59"/>
        <v>Pharmacy</v>
      </c>
      <c r="C609" t="str">
        <f>"1475 MAIN ST"</f>
        <v>1475 MAIN ST</v>
      </c>
      <c r="D609" t="str">
        <f>""</f>
        <v/>
      </c>
      <c r="E609" t="str">
        <f>"WILLIMANTIC"</f>
        <v>WILLIMANTIC</v>
      </c>
      <c r="F609" t="str">
        <f t="shared" si="60"/>
        <v>CT</v>
      </c>
      <c r="G609" t="str">
        <f>"06226"</f>
        <v>06226</v>
      </c>
      <c r="H609" t="str">
        <f>"8604236304"</f>
        <v>8604236304</v>
      </c>
      <c r="I609" t="str">
        <f t="shared" si="61"/>
        <v>ENGLISH</v>
      </c>
    </row>
    <row r="610" spans="1:9" x14ac:dyDescent="0.3">
      <c r="A610" t="str">
        <f t="shared" si="62"/>
        <v>WALGREEN EASTERN CO INC</v>
      </c>
      <c r="B610" t="str">
        <f t="shared" si="59"/>
        <v>Pharmacy</v>
      </c>
      <c r="C610" t="str">
        <f>"525 FARMINGTON AVE"</f>
        <v>525 FARMINGTON AVE</v>
      </c>
      <c r="D610" t="str">
        <f>""</f>
        <v/>
      </c>
      <c r="E610" t="str">
        <f>"BRISTOL"</f>
        <v>BRISTOL</v>
      </c>
      <c r="F610" t="str">
        <f t="shared" si="60"/>
        <v>CT</v>
      </c>
      <c r="G610" t="str">
        <f>"06010"</f>
        <v>06010</v>
      </c>
      <c r="H610" t="str">
        <f>"8605833638"</f>
        <v>8605833638</v>
      </c>
      <c r="I610" t="str">
        <f t="shared" si="61"/>
        <v>ENGLISH</v>
      </c>
    </row>
    <row r="611" spans="1:9" x14ac:dyDescent="0.3">
      <c r="A611" t="str">
        <f t="shared" si="62"/>
        <v>WALGREEN EASTERN CO INC</v>
      </c>
      <c r="B611" t="str">
        <f t="shared" si="59"/>
        <v>Pharmacy</v>
      </c>
      <c r="C611" t="str">
        <f>"394 CAMPBELL AVENUE"</f>
        <v>394 CAMPBELL AVENUE</v>
      </c>
      <c r="D611" t="str">
        <f>""</f>
        <v/>
      </c>
      <c r="E611" t="str">
        <f>"WEST HAVEN"</f>
        <v>WEST HAVEN</v>
      </c>
      <c r="F611" t="str">
        <f t="shared" si="60"/>
        <v>CT</v>
      </c>
      <c r="G611" t="str">
        <f>"06516"</f>
        <v>06516</v>
      </c>
      <c r="H611" t="str">
        <f>"2039329311"</f>
        <v>2039329311</v>
      </c>
      <c r="I611" t="str">
        <f t="shared" si="61"/>
        <v>ENGLISH</v>
      </c>
    </row>
    <row r="612" spans="1:9" x14ac:dyDescent="0.3">
      <c r="A612" t="str">
        <f t="shared" si="62"/>
        <v>WALGREEN EASTERN CO INC</v>
      </c>
      <c r="B612" t="str">
        <f t="shared" si="59"/>
        <v>Pharmacy</v>
      </c>
      <c r="C612" t="str">
        <f>"284 S COLONY RD"</f>
        <v>284 S COLONY RD</v>
      </c>
      <c r="D612" t="str">
        <f>""</f>
        <v/>
      </c>
      <c r="E612" t="str">
        <f>"WALLINGFORD"</f>
        <v>WALLINGFORD</v>
      </c>
      <c r="F612" t="str">
        <f t="shared" si="60"/>
        <v>CT</v>
      </c>
      <c r="G612" t="str">
        <f>"06492"</f>
        <v>06492</v>
      </c>
      <c r="H612" t="str">
        <f>"2032656336"</f>
        <v>2032656336</v>
      </c>
      <c r="I612" t="str">
        <f t="shared" si="61"/>
        <v>ENGLISH</v>
      </c>
    </row>
    <row r="613" spans="1:9" x14ac:dyDescent="0.3">
      <c r="A613" t="str">
        <f t="shared" si="62"/>
        <v>WALGREEN EASTERN CO INC</v>
      </c>
      <c r="B613" t="str">
        <f t="shared" si="59"/>
        <v>Pharmacy</v>
      </c>
      <c r="C613" t="str">
        <f>"49 WASHINGTON AVE"</f>
        <v>49 WASHINGTON AVE</v>
      </c>
      <c r="D613" t="str">
        <f>""</f>
        <v/>
      </c>
      <c r="E613" t="str">
        <f>"NORTH HAVEN"</f>
        <v>NORTH HAVEN</v>
      </c>
      <c r="F613" t="str">
        <f t="shared" si="60"/>
        <v>CT</v>
      </c>
      <c r="G613" t="str">
        <f>"06473"</f>
        <v>06473</v>
      </c>
      <c r="H613" t="str">
        <f>"2032394099"</f>
        <v>2032394099</v>
      </c>
      <c r="I613" t="str">
        <f t="shared" si="61"/>
        <v>ENGLISH</v>
      </c>
    </row>
    <row r="614" spans="1:9" x14ac:dyDescent="0.3">
      <c r="A614" t="str">
        <f t="shared" si="62"/>
        <v>WALGREEN EASTERN CO INC</v>
      </c>
      <c r="B614" t="str">
        <f t="shared" si="59"/>
        <v>Pharmacy</v>
      </c>
      <c r="C614" t="str">
        <f>"1697 WHITNEY AVE STE 3"</f>
        <v>1697 WHITNEY AVE STE 3</v>
      </c>
      <c r="D614" t="str">
        <f>""</f>
        <v/>
      </c>
      <c r="E614" t="str">
        <f>"HAMDEN"</f>
        <v>HAMDEN</v>
      </c>
      <c r="F614" t="str">
        <f t="shared" si="60"/>
        <v>CT</v>
      </c>
      <c r="G614" t="str">
        <f>"06517"</f>
        <v>06517</v>
      </c>
      <c r="H614" t="str">
        <f>"2032300610"</f>
        <v>2032300610</v>
      </c>
      <c r="I614" t="str">
        <f t="shared" si="61"/>
        <v>ENGLISH</v>
      </c>
    </row>
    <row r="615" spans="1:9" x14ac:dyDescent="0.3">
      <c r="A615" t="str">
        <f t="shared" si="62"/>
        <v>WALGREEN EASTERN CO INC</v>
      </c>
      <c r="B615" t="str">
        <f t="shared" si="59"/>
        <v>Pharmacy</v>
      </c>
      <c r="C615" t="str">
        <f>"144 BANK STREET"</f>
        <v>144 BANK STREET</v>
      </c>
      <c r="D615" t="str">
        <f>""</f>
        <v/>
      </c>
      <c r="E615" t="str">
        <f>"SEYMOUR"</f>
        <v>SEYMOUR</v>
      </c>
      <c r="F615" t="str">
        <f t="shared" si="60"/>
        <v>CT</v>
      </c>
      <c r="G615" t="str">
        <f>"06483"</f>
        <v>06483</v>
      </c>
      <c r="H615" t="str">
        <f>"2038819999"</f>
        <v>2038819999</v>
      </c>
      <c r="I615" t="str">
        <f t="shared" si="61"/>
        <v>ENGLISH</v>
      </c>
    </row>
    <row r="616" spans="1:9" x14ac:dyDescent="0.3">
      <c r="A616" t="str">
        <f t="shared" si="62"/>
        <v>WALGREEN EASTERN CO INC</v>
      </c>
      <c r="B616" t="str">
        <f t="shared" si="59"/>
        <v>Pharmacy</v>
      </c>
      <c r="C616" t="str">
        <f>"102 WASHINGTON ST"</f>
        <v>102 WASHINGTON ST</v>
      </c>
      <c r="D616" t="str">
        <f>""</f>
        <v/>
      </c>
      <c r="E616" t="str">
        <f>"NEW BRITAIN"</f>
        <v>NEW BRITAIN</v>
      </c>
      <c r="F616" t="str">
        <f t="shared" si="60"/>
        <v>CT</v>
      </c>
      <c r="G616" t="str">
        <f>"06051"</f>
        <v>06051</v>
      </c>
      <c r="H616" t="str">
        <f>"8608267272"</f>
        <v>8608267272</v>
      </c>
      <c r="I616" t="str">
        <f t="shared" si="61"/>
        <v>ENGLISH</v>
      </c>
    </row>
    <row r="617" spans="1:9" x14ac:dyDescent="0.3">
      <c r="A617" t="str">
        <f t="shared" si="62"/>
        <v>WALGREEN EASTERN CO INC</v>
      </c>
      <c r="B617" t="str">
        <f t="shared" si="59"/>
        <v>Pharmacy</v>
      </c>
      <c r="C617" t="str">
        <f>"668 FARMINGTON AVE"</f>
        <v>668 FARMINGTON AVE</v>
      </c>
      <c r="D617" t="str">
        <f>""</f>
        <v/>
      </c>
      <c r="E617" t="str">
        <f>"WEST HARTFORD"</f>
        <v>WEST HARTFORD</v>
      </c>
      <c r="F617" t="str">
        <f t="shared" si="60"/>
        <v>CT</v>
      </c>
      <c r="G617" t="str">
        <f>"06119"</f>
        <v>06119</v>
      </c>
      <c r="H617" t="str">
        <f>"8605235849"</f>
        <v>8605235849</v>
      </c>
      <c r="I617" t="str">
        <f t="shared" si="61"/>
        <v>ENGLISH</v>
      </c>
    </row>
    <row r="618" spans="1:9" x14ac:dyDescent="0.3">
      <c r="A618" t="str">
        <f t="shared" si="62"/>
        <v>WALGREEN EASTERN CO INC</v>
      </c>
      <c r="B618" t="str">
        <f t="shared" si="59"/>
        <v>Pharmacy</v>
      </c>
      <c r="C618" t="str">
        <f>"20 CONNECTICUT BLVD"</f>
        <v>20 CONNECTICUT BLVD</v>
      </c>
      <c r="D618" t="str">
        <f>""</f>
        <v/>
      </c>
      <c r="E618" t="str">
        <f>"EAST HARTFORD"</f>
        <v>EAST HARTFORD</v>
      </c>
      <c r="F618" t="str">
        <f t="shared" si="60"/>
        <v>CT</v>
      </c>
      <c r="G618" t="str">
        <f>"06108"</f>
        <v>06108</v>
      </c>
      <c r="H618" t="str">
        <f>"8602894944"</f>
        <v>8602894944</v>
      </c>
      <c r="I618" t="str">
        <f t="shared" si="61"/>
        <v>ENGLISH</v>
      </c>
    </row>
    <row r="619" spans="1:9" x14ac:dyDescent="0.3">
      <c r="A619" t="str">
        <f t="shared" si="62"/>
        <v>WALGREEN EASTERN CO INC</v>
      </c>
      <c r="B619" t="str">
        <f t="shared" si="59"/>
        <v>Pharmacy</v>
      </c>
      <c r="C619" t="str">
        <f>"399 WEST MAIN ST"</f>
        <v>399 WEST MAIN ST</v>
      </c>
      <c r="D619" t="str">
        <f>""</f>
        <v/>
      </c>
      <c r="E619" t="str">
        <f>"NORWICH"</f>
        <v>NORWICH</v>
      </c>
      <c r="F619" t="str">
        <f t="shared" si="60"/>
        <v>CT</v>
      </c>
      <c r="G619" t="str">
        <f>"06360"</f>
        <v>06360</v>
      </c>
      <c r="H619" t="str">
        <f>"8608850389"</f>
        <v>8608850389</v>
      </c>
      <c r="I619" t="str">
        <f t="shared" si="61"/>
        <v>ENGLISH</v>
      </c>
    </row>
    <row r="620" spans="1:9" x14ac:dyDescent="0.3">
      <c r="A620" t="str">
        <f t="shared" si="62"/>
        <v>WALGREEN EASTERN CO INC</v>
      </c>
      <c r="B620" t="str">
        <f t="shared" si="59"/>
        <v>Pharmacy</v>
      </c>
      <c r="C620" t="str">
        <f>"649 WEST MAIN ST STE 2"</f>
        <v>649 WEST MAIN ST STE 2</v>
      </c>
      <c r="D620" t="str">
        <f>""</f>
        <v/>
      </c>
      <c r="E620" t="str">
        <f>"WATERBURY"</f>
        <v>WATERBURY</v>
      </c>
      <c r="F620" t="str">
        <f t="shared" si="60"/>
        <v>CT</v>
      </c>
      <c r="G620" t="str">
        <f>"06702"</f>
        <v>06702</v>
      </c>
      <c r="H620" t="str">
        <f>"2037576010"</f>
        <v>2037576010</v>
      </c>
      <c r="I620" t="str">
        <f t="shared" si="61"/>
        <v>ENGLISH</v>
      </c>
    </row>
    <row r="621" spans="1:9" x14ac:dyDescent="0.3">
      <c r="A621" t="str">
        <f t="shared" si="62"/>
        <v>WALGREEN EASTERN CO INC</v>
      </c>
      <c r="B621" t="str">
        <f t="shared" si="59"/>
        <v>Pharmacy</v>
      </c>
      <c r="C621" t="str">
        <f>"633 WASHINGTON STREET"</f>
        <v>633 WASHINGTON STREET</v>
      </c>
      <c r="D621" t="str">
        <f>""</f>
        <v/>
      </c>
      <c r="E621" t="str">
        <f>"MIDDLETOWN"</f>
        <v>MIDDLETOWN</v>
      </c>
      <c r="F621" t="str">
        <f t="shared" si="60"/>
        <v>CT</v>
      </c>
      <c r="G621" t="str">
        <f>"06457"</f>
        <v>06457</v>
      </c>
      <c r="H621" t="str">
        <f>"8603467628"</f>
        <v>8603467628</v>
      </c>
      <c r="I621" t="str">
        <f t="shared" si="61"/>
        <v>ENGLISH</v>
      </c>
    </row>
    <row r="622" spans="1:9" x14ac:dyDescent="0.3">
      <c r="A622" t="str">
        <f t="shared" si="62"/>
        <v>WALGREEN EASTERN CO INC</v>
      </c>
      <c r="B622" t="str">
        <f t="shared" si="59"/>
        <v>Pharmacy</v>
      </c>
      <c r="C622" t="str">
        <f>"75-83 MAIN STREET"</f>
        <v>75-83 MAIN STREET</v>
      </c>
      <c r="D622" t="str">
        <f>""</f>
        <v/>
      </c>
      <c r="E622" t="str">
        <f>"DANBURY"</f>
        <v>DANBURY</v>
      </c>
      <c r="F622" t="str">
        <f t="shared" si="60"/>
        <v>CT</v>
      </c>
      <c r="G622" t="str">
        <f>"06810"</f>
        <v>06810</v>
      </c>
      <c r="H622" t="str">
        <f>"2037910405"</f>
        <v>2037910405</v>
      </c>
      <c r="I622" t="str">
        <f t="shared" si="61"/>
        <v>ENGLISH</v>
      </c>
    </row>
    <row r="623" spans="1:9" x14ac:dyDescent="0.3">
      <c r="A623" t="str">
        <f t="shared" si="62"/>
        <v>WALGREEN EASTERN CO INC</v>
      </c>
      <c r="B623" t="str">
        <f t="shared" si="59"/>
        <v>Pharmacy</v>
      </c>
      <c r="C623" t="str">
        <f>"1036 W MAIN STREET"</f>
        <v>1036 W MAIN STREET</v>
      </c>
      <c r="D623" t="str">
        <f>""</f>
        <v/>
      </c>
      <c r="E623" t="str">
        <f>"BRANFORD"</f>
        <v>BRANFORD</v>
      </c>
      <c r="F623" t="str">
        <f t="shared" si="60"/>
        <v>CT</v>
      </c>
      <c r="G623" t="str">
        <f>"06405"</f>
        <v>06405</v>
      </c>
      <c r="H623" t="str">
        <f>"2034889059"</f>
        <v>2034889059</v>
      </c>
      <c r="I623" t="str">
        <f t="shared" si="61"/>
        <v>ENGLISH</v>
      </c>
    </row>
    <row r="624" spans="1:9" x14ac:dyDescent="0.3">
      <c r="A624" t="str">
        <f t="shared" si="62"/>
        <v>WALGREEN EASTERN CO INC</v>
      </c>
      <c r="B624" t="str">
        <f t="shared" si="59"/>
        <v>Pharmacy</v>
      </c>
      <c r="C624" t="str">
        <f>"4 HAMMERHEAD PLACE"</f>
        <v>4 HAMMERHEAD PLACE</v>
      </c>
      <c r="D624" t="str">
        <f>""</f>
        <v/>
      </c>
      <c r="E624" t="str">
        <f>"CROMWELL"</f>
        <v>CROMWELL</v>
      </c>
      <c r="F624" t="str">
        <f t="shared" si="60"/>
        <v>CT</v>
      </c>
      <c r="G624" t="str">
        <f>"06416"</f>
        <v>06416</v>
      </c>
      <c r="H624" t="str">
        <f>"8606132324"</f>
        <v>8606132324</v>
      </c>
      <c r="I624" t="str">
        <f t="shared" si="61"/>
        <v>ENGLISH</v>
      </c>
    </row>
    <row r="625" spans="1:9" x14ac:dyDescent="0.3">
      <c r="A625" t="str">
        <f t="shared" si="62"/>
        <v>WALGREEN EASTERN CO INC</v>
      </c>
      <c r="B625" t="str">
        <f t="shared" si="59"/>
        <v>Pharmacy</v>
      </c>
      <c r="C625" t="str">
        <f>"1093 N MAIN ST"</f>
        <v>1093 N MAIN ST</v>
      </c>
      <c r="D625" t="str">
        <f>""</f>
        <v/>
      </c>
      <c r="E625" t="str">
        <f>"DAYVILLE"</f>
        <v>DAYVILLE</v>
      </c>
      <c r="F625" t="str">
        <f t="shared" ref="F625:F656" si="63">"CT"</f>
        <v>CT</v>
      </c>
      <c r="G625" t="str">
        <f>"06241"</f>
        <v>06241</v>
      </c>
      <c r="H625" t="str">
        <f>"8607740490"</f>
        <v>8607740490</v>
      </c>
      <c r="I625" t="str">
        <f t="shared" si="61"/>
        <v>ENGLISH</v>
      </c>
    </row>
    <row r="626" spans="1:9" x14ac:dyDescent="0.3">
      <c r="A626" t="str">
        <f t="shared" si="62"/>
        <v>WALGREEN EASTERN CO INC</v>
      </c>
      <c r="B626" t="str">
        <f t="shared" si="59"/>
        <v>Pharmacy</v>
      </c>
      <c r="C626" t="str">
        <f>"54 WEST AVE"</f>
        <v>54 WEST AVE</v>
      </c>
      <c r="D626" t="str">
        <f>""</f>
        <v/>
      </c>
      <c r="E626" t="str">
        <f>"NORWALK"</f>
        <v>NORWALK</v>
      </c>
      <c r="F626" t="str">
        <f t="shared" si="63"/>
        <v>CT</v>
      </c>
      <c r="G626" t="str">
        <f>"06854"</f>
        <v>06854</v>
      </c>
      <c r="H626" t="str">
        <f>"2032991256"</f>
        <v>2032991256</v>
      </c>
      <c r="I626" t="str">
        <f t="shared" si="61"/>
        <v>ENGLISH</v>
      </c>
    </row>
    <row r="627" spans="1:9" x14ac:dyDescent="0.3">
      <c r="A627" t="str">
        <f t="shared" si="62"/>
        <v>WALGREEN EASTERN CO INC</v>
      </c>
      <c r="B627" t="str">
        <f t="shared" si="59"/>
        <v>Pharmacy</v>
      </c>
      <c r="C627" t="str">
        <f>"1 ELM STREET"</f>
        <v>1 ELM STREET</v>
      </c>
      <c r="D627" t="str">
        <f>""</f>
        <v/>
      </c>
      <c r="E627" t="str">
        <f>"WINDSOR LOCKS"</f>
        <v>WINDSOR LOCKS</v>
      </c>
      <c r="F627" t="str">
        <f t="shared" si="63"/>
        <v>CT</v>
      </c>
      <c r="G627" t="str">
        <f>"06096"</f>
        <v>06096</v>
      </c>
      <c r="H627" t="str">
        <f>"8602921751"</f>
        <v>8602921751</v>
      </c>
      <c r="I627" t="str">
        <f t="shared" si="61"/>
        <v>ENGLISH</v>
      </c>
    </row>
    <row r="628" spans="1:9" x14ac:dyDescent="0.3">
      <c r="A628" t="str">
        <f t="shared" si="62"/>
        <v>WALGREEN EASTERN CO INC</v>
      </c>
      <c r="B628" t="str">
        <f t="shared" si="59"/>
        <v>Pharmacy</v>
      </c>
      <c r="C628" t="str">
        <f>"235 MAIN AVENUE"</f>
        <v>235 MAIN AVENUE</v>
      </c>
      <c r="D628" t="str">
        <f>""</f>
        <v/>
      </c>
      <c r="E628" t="str">
        <f>"NORWALK"</f>
        <v>NORWALK</v>
      </c>
      <c r="F628" t="str">
        <f t="shared" si="63"/>
        <v>CT</v>
      </c>
      <c r="G628" t="str">
        <f>"06851"</f>
        <v>06851</v>
      </c>
      <c r="H628" t="str">
        <f>"2038458767"</f>
        <v>2038458767</v>
      </c>
      <c r="I628" t="str">
        <f t="shared" si="61"/>
        <v>ENGLISH</v>
      </c>
    </row>
    <row r="629" spans="1:9" x14ac:dyDescent="0.3">
      <c r="A629" t="str">
        <f t="shared" si="62"/>
        <v>WALGREEN EASTERN CO INC</v>
      </c>
      <c r="B629" t="str">
        <f t="shared" si="59"/>
        <v>Pharmacy</v>
      </c>
      <c r="C629" t="str">
        <f>"188 UNION STREET"</f>
        <v>188 UNION STREET</v>
      </c>
      <c r="D629" t="str">
        <f>""</f>
        <v/>
      </c>
      <c r="E629" t="str">
        <f>"VERNON"</f>
        <v>VERNON</v>
      </c>
      <c r="F629" t="str">
        <f t="shared" si="63"/>
        <v>CT</v>
      </c>
      <c r="G629" t="str">
        <f>"06066"</f>
        <v>06066</v>
      </c>
      <c r="H629" t="str">
        <f>"8608961485"</f>
        <v>8608961485</v>
      </c>
      <c r="I629" t="str">
        <f t="shared" si="61"/>
        <v>ENGLISH</v>
      </c>
    </row>
    <row r="630" spans="1:9" x14ac:dyDescent="0.3">
      <c r="A630" t="str">
        <f t="shared" si="62"/>
        <v>WALGREEN EASTERN CO INC</v>
      </c>
      <c r="B630" t="str">
        <f t="shared" si="59"/>
        <v>Pharmacy</v>
      </c>
      <c r="C630" t="str">
        <f>"46A DANBURY RD"</f>
        <v>46A DANBURY RD</v>
      </c>
      <c r="D630" t="str">
        <f>""</f>
        <v/>
      </c>
      <c r="E630" t="str">
        <f>"RIDGEFIELD"</f>
        <v>RIDGEFIELD</v>
      </c>
      <c r="F630" t="str">
        <f t="shared" si="63"/>
        <v>CT</v>
      </c>
      <c r="G630" t="str">
        <f>"06877"</f>
        <v>06877</v>
      </c>
      <c r="H630" t="str">
        <f>"2038948744"</f>
        <v>2038948744</v>
      </c>
      <c r="I630" t="str">
        <f t="shared" si="61"/>
        <v>ENGLISH</v>
      </c>
    </row>
    <row r="631" spans="1:9" x14ac:dyDescent="0.3">
      <c r="A631" t="str">
        <f t="shared" si="62"/>
        <v>WALGREEN EASTERN CO INC</v>
      </c>
      <c r="B631" t="str">
        <f t="shared" si="59"/>
        <v>Pharmacy</v>
      </c>
      <c r="C631" t="str">
        <f>"825 EAST MAIN STREET"</f>
        <v>825 EAST MAIN STREET</v>
      </c>
      <c r="D631" t="str">
        <f>""</f>
        <v/>
      </c>
      <c r="E631" t="str">
        <f>"MERIDEN"</f>
        <v>MERIDEN</v>
      </c>
      <c r="F631" t="str">
        <f t="shared" si="63"/>
        <v>CT</v>
      </c>
      <c r="G631" t="str">
        <f>"06450"</f>
        <v>06450</v>
      </c>
      <c r="H631" t="str">
        <f>"2032380881"</f>
        <v>2032380881</v>
      </c>
      <c r="I631" t="str">
        <f t="shared" si="61"/>
        <v>ENGLISH</v>
      </c>
    </row>
    <row r="632" spans="1:9" x14ac:dyDescent="0.3">
      <c r="A632" t="str">
        <f t="shared" si="62"/>
        <v>WALGREEN EASTERN CO INC</v>
      </c>
      <c r="B632" t="str">
        <f t="shared" si="59"/>
        <v>Pharmacy</v>
      </c>
      <c r="C632" t="str">
        <f>"55 WESTPORT AVENUE"</f>
        <v>55 WESTPORT AVENUE</v>
      </c>
      <c r="D632" t="str">
        <f>""</f>
        <v/>
      </c>
      <c r="E632" t="str">
        <f>"NORWALK"</f>
        <v>NORWALK</v>
      </c>
      <c r="F632" t="str">
        <f t="shared" si="63"/>
        <v>CT</v>
      </c>
      <c r="G632" t="str">
        <f>"06851"</f>
        <v>06851</v>
      </c>
      <c r="H632" t="str">
        <f>"2038450457"</f>
        <v>2038450457</v>
      </c>
      <c r="I632" t="str">
        <f t="shared" si="61"/>
        <v>ENGLISH</v>
      </c>
    </row>
    <row r="633" spans="1:9" x14ac:dyDescent="0.3">
      <c r="A633" t="str">
        <f t="shared" si="62"/>
        <v>WALGREEN EASTERN CO INC</v>
      </c>
      <c r="B633" t="str">
        <f t="shared" si="59"/>
        <v>Pharmacy</v>
      </c>
      <c r="C633" t="str">
        <f>"149 DEMING STREET"</f>
        <v>149 DEMING STREET</v>
      </c>
      <c r="D633" t="str">
        <f>""</f>
        <v/>
      </c>
      <c r="E633" t="str">
        <f>"MANCHESTER"</f>
        <v>MANCHESTER</v>
      </c>
      <c r="F633" t="str">
        <f t="shared" si="63"/>
        <v>CT</v>
      </c>
      <c r="G633" t="str">
        <f>"06040"</f>
        <v>06040</v>
      </c>
      <c r="H633" t="str">
        <f>"8606441210"</f>
        <v>8606441210</v>
      </c>
      <c r="I633" t="str">
        <f t="shared" si="61"/>
        <v>ENGLISH</v>
      </c>
    </row>
    <row r="634" spans="1:9" x14ac:dyDescent="0.3">
      <c r="A634" t="str">
        <f t="shared" si="62"/>
        <v>WALGREEN EASTERN CO INC</v>
      </c>
      <c r="B634" t="str">
        <f t="shared" si="59"/>
        <v>Pharmacy</v>
      </c>
      <c r="C634" t="str">
        <f>"880 POST ROAD EAST"</f>
        <v>880 POST ROAD EAST</v>
      </c>
      <c r="D634" t="str">
        <f>""</f>
        <v/>
      </c>
      <c r="E634" t="str">
        <f>"WESTPORT"</f>
        <v>WESTPORT</v>
      </c>
      <c r="F634" t="str">
        <f t="shared" si="63"/>
        <v>CT</v>
      </c>
      <c r="G634" t="str">
        <f>"06880"</f>
        <v>06880</v>
      </c>
      <c r="H634" t="str">
        <f>"2032268452"</f>
        <v>2032268452</v>
      </c>
      <c r="I634" t="str">
        <f t="shared" si="61"/>
        <v>ENGLISH</v>
      </c>
    </row>
    <row r="635" spans="1:9" x14ac:dyDescent="0.3">
      <c r="A635" t="str">
        <f t="shared" si="62"/>
        <v>WALGREEN EASTERN CO INC</v>
      </c>
      <c r="B635" t="str">
        <f t="shared" si="59"/>
        <v>Pharmacy</v>
      </c>
      <c r="C635" t="str">
        <f>"1211 BOSTON POST RD"</f>
        <v>1211 BOSTON POST RD</v>
      </c>
      <c r="D635" t="str">
        <f>""</f>
        <v/>
      </c>
      <c r="E635" t="str">
        <f>"WESTBROOK"</f>
        <v>WESTBROOK</v>
      </c>
      <c r="F635" t="str">
        <f t="shared" si="63"/>
        <v>CT</v>
      </c>
      <c r="G635" t="str">
        <f>"06498"</f>
        <v>06498</v>
      </c>
      <c r="H635" t="str">
        <f>"8603996899"</f>
        <v>8603996899</v>
      </c>
      <c r="I635" t="str">
        <f t="shared" ref="I635:I666" si="64">"ENGLISH"</f>
        <v>ENGLISH</v>
      </c>
    </row>
    <row r="636" spans="1:9" x14ac:dyDescent="0.3">
      <c r="A636" t="str">
        <f t="shared" si="62"/>
        <v>WALGREEN EASTERN CO INC</v>
      </c>
      <c r="B636" t="str">
        <f t="shared" si="59"/>
        <v>Pharmacy</v>
      </c>
      <c r="C636" t="str">
        <f>"780 E MAIN ST."</f>
        <v>780 E MAIN ST.</v>
      </c>
      <c r="D636" t="str">
        <f>""</f>
        <v/>
      </c>
      <c r="E636" t="str">
        <f>"STAMFORD"</f>
        <v>STAMFORD</v>
      </c>
      <c r="F636" t="str">
        <f t="shared" si="63"/>
        <v>CT</v>
      </c>
      <c r="G636" t="str">
        <f>"06902"</f>
        <v>06902</v>
      </c>
      <c r="H636" t="str">
        <f>"2033539117"</f>
        <v>2033539117</v>
      </c>
      <c r="I636" t="str">
        <f t="shared" si="64"/>
        <v>ENGLISH</v>
      </c>
    </row>
    <row r="637" spans="1:9" x14ac:dyDescent="0.3">
      <c r="A637" t="str">
        <f t="shared" si="62"/>
        <v>WALGREEN EASTERN CO INC</v>
      </c>
      <c r="B637" t="str">
        <f t="shared" si="59"/>
        <v>Pharmacy</v>
      </c>
      <c r="C637" t="str">
        <f>"698 BANK ST"</f>
        <v>698 BANK ST</v>
      </c>
      <c r="D637" t="str">
        <f>""</f>
        <v/>
      </c>
      <c r="E637" t="str">
        <f>"NEW LONDON"</f>
        <v>NEW LONDON</v>
      </c>
      <c r="F637" t="str">
        <f t="shared" si="63"/>
        <v>CT</v>
      </c>
      <c r="G637" t="str">
        <f>"06320"</f>
        <v>06320</v>
      </c>
      <c r="H637" t="str">
        <f>"8604403566"</f>
        <v>8604403566</v>
      </c>
      <c r="I637" t="str">
        <f t="shared" si="64"/>
        <v>ENGLISH</v>
      </c>
    </row>
    <row r="638" spans="1:9" x14ac:dyDescent="0.3">
      <c r="A638" t="str">
        <f t="shared" si="62"/>
        <v>WALGREEN EASTERN CO INC</v>
      </c>
      <c r="B638" t="str">
        <f t="shared" si="59"/>
        <v>Pharmacy</v>
      </c>
      <c r="C638" t="str">
        <f>"541 BRIDGEPORT AVE"</f>
        <v>541 BRIDGEPORT AVE</v>
      </c>
      <c r="D638" t="str">
        <f>""</f>
        <v/>
      </c>
      <c r="E638" t="str">
        <f>"MILFORD"</f>
        <v>MILFORD</v>
      </c>
      <c r="F638" t="str">
        <f t="shared" si="63"/>
        <v>CT</v>
      </c>
      <c r="G638" t="str">
        <f>"06460"</f>
        <v>06460</v>
      </c>
      <c r="H638" t="str">
        <f>"2038767643"</f>
        <v>2038767643</v>
      </c>
      <c r="I638" t="str">
        <f t="shared" si="64"/>
        <v>ENGLISH</v>
      </c>
    </row>
    <row r="639" spans="1:9" x14ac:dyDescent="0.3">
      <c r="A639" t="str">
        <f t="shared" si="62"/>
        <v>WALGREEN EASTERN CO INC</v>
      </c>
      <c r="B639" t="str">
        <f t="shared" si="59"/>
        <v>Pharmacy</v>
      </c>
      <c r="C639" t="str">
        <f>"500 ALBANY AVE"</f>
        <v>500 ALBANY AVE</v>
      </c>
      <c r="D639" t="str">
        <f>""</f>
        <v/>
      </c>
      <c r="E639" t="str">
        <f>"HARTFORD"</f>
        <v>HARTFORD</v>
      </c>
      <c r="F639" t="str">
        <f t="shared" si="63"/>
        <v>CT</v>
      </c>
      <c r="G639" t="str">
        <f>"06120"</f>
        <v>06120</v>
      </c>
      <c r="H639" t="str">
        <f>"8605245304"</f>
        <v>8605245304</v>
      </c>
      <c r="I639" t="str">
        <f t="shared" si="64"/>
        <v>ENGLISH</v>
      </c>
    </row>
    <row r="640" spans="1:9" x14ac:dyDescent="0.3">
      <c r="A640" t="str">
        <f t="shared" si="62"/>
        <v>WALGREEN EASTERN CO INC</v>
      </c>
      <c r="B640" t="str">
        <f t="shared" si="59"/>
        <v>Pharmacy</v>
      </c>
      <c r="C640" t="str">
        <f>"529 TALCOTTVILLE RD"</f>
        <v>529 TALCOTTVILLE RD</v>
      </c>
      <c r="D640" t="str">
        <f>""</f>
        <v/>
      </c>
      <c r="E640" t="str">
        <f>"VERNON ROCKVILLE"</f>
        <v>VERNON ROCKVILLE</v>
      </c>
      <c r="F640" t="str">
        <f t="shared" si="63"/>
        <v>CT</v>
      </c>
      <c r="G640" t="str">
        <f>"06066"</f>
        <v>06066</v>
      </c>
      <c r="H640" t="str">
        <f>"8608716068"</f>
        <v>8608716068</v>
      </c>
      <c r="I640" t="str">
        <f t="shared" si="64"/>
        <v>ENGLISH</v>
      </c>
    </row>
    <row r="641" spans="1:9" x14ac:dyDescent="0.3">
      <c r="A641" t="str">
        <f t="shared" ref="A641:A672" si="65">"WALGREEN EASTERN CO INC"</f>
        <v>WALGREEN EASTERN CO INC</v>
      </c>
      <c r="B641" t="str">
        <f t="shared" si="59"/>
        <v>Pharmacy</v>
      </c>
      <c r="C641" t="str">
        <f>"2900 MAIN ST"</f>
        <v>2900 MAIN ST</v>
      </c>
      <c r="D641" t="str">
        <f>""</f>
        <v/>
      </c>
      <c r="E641" t="str">
        <f>"GLASTONBURY"</f>
        <v>GLASTONBURY</v>
      </c>
      <c r="F641" t="str">
        <f t="shared" si="63"/>
        <v>CT</v>
      </c>
      <c r="G641" t="str">
        <f>"06033"</f>
        <v>06033</v>
      </c>
      <c r="H641" t="str">
        <f>"8606334186"</f>
        <v>8606334186</v>
      </c>
      <c r="I641" t="str">
        <f t="shared" si="64"/>
        <v>ENGLISH</v>
      </c>
    </row>
    <row r="642" spans="1:9" x14ac:dyDescent="0.3">
      <c r="A642" t="str">
        <f t="shared" si="65"/>
        <v>WALGREEN EASTERN CO INC</v>
      </c>
      <c r="B642" t="str">
        <f t="shared" ref="B642:B705" si="66">"Pharmacy"</f>
        <v>Pharmacy</v>
      </c>
      <c r="C642" t="str">
        <f>"36 PINE ST"</f>
        <v>36 PINE ST</v>
      </c>
      <c r="D642" t="str">
        <f>""</f>
        <v/>
      </c>
      <c r="E642" t="str">
        <f>"NEW CANAAN"</f>
        <v>NEW CANAAN</v>
      </c>
      <c r="F642" t="str">
        <f t="shared" si="63"/>
        <v>CT</v>
      </c>
      <c r="G642" t="str">
        <f>"06840"</f>
        <v>06840</v>
      </c>
      <c r="H642" t="str">
        <f>"2038010121"</f>
        <v>2038010121</v>
      </c>
      <c r="I642" t="str">
        <f t="shared" si="64"/>
        <v>ENGLISH</v>
      </c>
    </row>
    <row r="643" spans="1:9" x14ac:dyDescent="0.3">
      <c r="A643" t="str">
        <f t="shared" si="65"/>
        <v>WALGREEN EASTERN CO INC</v>
      </c>
      <c r="B643" t="str">
        <f t="shared" si="66"/>
        <v>Pharmacy</v>
      </c>
      <c r="C643" t="str">
        <f>"359 MAIN STREET"</f>
        <v>359 MAIN STREET</v>
      </c>
      <c r="D643" t="str">
        <f>""</f>
        <v/>
      </c>
      <c r="E643" t="str">
        <f>"SOUTHINGTON"</f>
        <v>SOUTHINGTON</v>
      </c>
      <c r="F643" t="str">
        <f t="shared" si="63"/>
        <v>CT</v>
      </c>
      <c r="G643" t="str">
        <f>"06489"</f>
        <v>06489</v>
      </c>
      <c r="H643" t="str">
        <f>"8606213739"</f>
        <v>8606213739</v>
      </c>
      <c r="I643" t="str">
        <f t="shared" si="64"/>
        <v>ENGLISH</v>
      </c>
    </row>
    <row r="644" spans="1:9" x14ac:dyDescent="0.3">
      <c r="A644" t="str">
        <f t="shared" si="65"/>
        <v>WALGREEN EASTERN CO INC</v>
      </c>
      <c r="B644" t="str">
        <f t="shared" si="66"/>
        <v>Pharmacy</v>
      </c>
      <c r="C644" t="str">
        <f>"1333 EAST PUTNAM AVENUE"</f>
        <v>1333 EAST PUTNAM AVENUE</v>
      </c>
      <c r="D644" t="str">
        <f>""</f>
        <v/>
      </c>
      <c r="E644" t="str">
        <f>"RIVERSIDE"</f>
        <v>RIVERSIDE</v>
      </c>
      <c r="F644" t="str">
        <f t="shared" si="63"/>
        <v>CT</v>
      </c>
      <c r="G644" t="str">
        <f>"06878"</f>
        <v>06878</v>
      </c>
      <c r="H644" t="str">
        <f>"2036371496"</f>
        <v>2036371496</v>
      </c>
      <c r="I644" t="str">
        <f t="shared" si="64"/>
        <v>ENGLISH</v>
      </c>
    </row>
    <row r="645" spans="1:9" x14ac:dyDescent="0.3">
      <c r="A645" t="str">
        <f t="shared" si="65"/>
        <v>WALGREEN EASTERN CO INC</v>
      </c>
      <c r="B645" t="str">
        <f t="shared" si="66"/>
        <v>Pharmacy</v>
      </c>
      <c r="C645" t="str">
        <f>"87 FOXON STREET"</f>
        <v>87 FOXON STREET</v>
      </c>
      <c r="D645" t="str">
        <f>""</f>
        <v/>
      </c>
      <c r="E645" t="str">
        <f>"NEW HAVEN"</f>
        <v>NEW HAVEN</v>
      </c>
      <c r="F645" t="str">
        <f t="shared" si="63"/>
        <v>CT</v>
      </c>
      <c r="G645" t="str">
        <f>"06513"</f>
        <v>06513</v>
      </c>
      <c r="H645" t="str">
        <f>"2034693016"</f>
        <v>2034693016</v>
      </c>
      <c r="I645" t="str">
        <f t="shared" si="64"/>
        <v>ENGLISH</v>
      </c>
    </row>
    <row r="646" spans="1:9" x14ac:dyDescent="0.3">
      <c r="A646" t="str">
        <f t="shared" si="65"/>
        <v>WALGREEN EASTERN CO INC</v>
      </c>
      <c r="B646" t="str">
        <f t="shared" si="66"/>
        <v>Pharmacy</v>
      </c>
      <c r="C646" t="str">
        <f>"2505 WHITNEY AVENUE"</f>
        <v>2505 WHITNEY AVENUE</v>
      </c>
      <c r="D646" t="str">
        <f>""</f>
        <v/>
      </c>
      <c r="E646" t="str">
        <f>"HAMDEN"</f>
        <v>HAMDEN</v>
      </c>
      <c r="F646" t="str">
        <f t="shared" si="63"/>
        <v>CT</v>
      </c>
      <c r="G646" t="str">
        <f>"06518"</f>
        <v>06518</v>
      </c>
      <c r="H646" t="str">
        <f>"2032885217"</f>
        <v>2032885217</v>
      </c>
      <c r="I646" t="str">
        <f t="shared" si="64"/>
        <v>ENGLISH</v>
      </c>
    </row>
    <row r="647" spans="1:9" x14ac:dyDescent="0.3">
      <c r="A647" t="str">
        <f t="shared" si="65"/>
        <v>WALGREEN EASTERN CO INC</v>
      </c>
      <c r="B647" t="str">
        <f t="shared" si="66"/>
        <v>Pharmacy</v>
      </c>
      <c r="C647" t="str">
        <f>"700 BRIDGEPORT AVE"</f>
        <v>700 BRIDGEPORT AVE</v>
      </c>
      <c r="D647" t="str">
        <f>""</f>
        <v/>
      </c>
      <c r="E647" t="str">
        <f>"SHELTON"</f>
        <v>SHELTON</v>
      </c>
      <c r="F647" t="str">
        <f t="shared" si="63"/>
        <v>CT</v>
      </c>
      <c r="G647" t="str">
        <f>"06484"</f>
        <v>06484</v>
      </c>
      <c r="H647" t="str">
        <f>"2032250296"</f>
        <v>2032250296</v>
      </c>
      <c r="I647" t="str">
        <f t="shared" si="64"/>
        <v>ENGLISH</v>
      </c>
    </row>
    <row r="648" spans="1:9" x14ac:dyDescent="0.3">
      <c r="A648" t="str">
        <f t="shared" si="65"/>
        <v>WALGREEN EASTERN CO INC</v>
      </c>
      <c r="B648" t="str">
        <f t="shared" si="66"/>
        <v>Pharmacy</v>
      </c>
      <c r="C648" t="str">
        <f>"1000 PARK AVENUE"</f>
        <v>1000 PARK AVENUE</v>
      </c>
      <c r="D648" t="str">
        <f>""</f>
        <v/>
      </c>
      <c r="E648" t="str">
        <f>"BRIDGEPORT"</f>
        <v>BRIDGEPORT</v>
      </c>
      <c r="F648" t="str">
        <f t="shared" si="63"/>
        <v>CT</v>
      </c>
      <c r="G648" t="str">
        <f>"06604"</f>
        <v>06604</v>
      </c>
      <c r="H648" t="str">
        <f>"2036960127"</f>
        <v>2036960127</v>
      </c>
      <c r="I648" t="str">
        <f t="shared" si="64"/>
        <v>ENGLISH</v>
      </c>
    </row>
    <row r="649" spans="1:9" x14ac:dyDescent="0.3">
      <c r="A649" t="str">
        <f t="shared" si="65"/>
        <v>WALGREEN EASTERN CO INC</v>
      </c>
      <c r="B649" t="str">
        <f t="shared" si="66"/>
        <v>Pharmacy</v>
      </c>
      <c r="C649" t="str">
        <f>"370 MAIN STREET SOUTH"</f>
        <v>370 MAIN STREET SOUTH</v>
      </c>
      <c r="D649" t="str">
        <f>""</f>
        <v/>
      </c>
      <c r="E649" t="str">
        <f>"SOUTHBURY"</f>
        <v>SOUTHBURY</v>
      </c>
      <c r="F649" t="str">
        <f t="shared" si="63"/>
        <v>CT</v>
      </c>
      <c r="G649" t="str">
        <f>"06488"</f>
        <v>06488</v>
      </c>
      <c r="H649" t="str">
        <f>"2032676718"</f>
        <v>2032676718</v>
      </c>
      <c r="I649" t="str">
        <f t="shared" si="64"/>
        <v>ENGLISH</v>
      </c>
    </row>
    <row r="650" spans="1:9" x14ac:dyDescent="0.3">
      <c r="A650" t="str">
        <f t="shared" si="65"/>
        <v>WALGREEN EASTERN CO INC</v>
      </c>
      <c r="B650" t="str">
        <f t="shared" si="66"/>
        <v>Pharmacy</v>
      </c>
      <c r="C650" t="str">
        <f>"1116 BOSTON POST RD"</f>
        <v>1116 BOSTON POST RD</v>
      </c>
      <c r="D650" t="str">
        <f>""</f>
        <v/>
      </c>
      <c r="E650" t="str">
        <f>"GUILFORD"</f>
        <v>GUILFORD</v>
      </c>
      <c r="F650" t="str">
        <f t="shared" si="63"/>
        <v>CT</v>
      </c>
      <c r="G650" t="str">
        <f>"06437"</f>
        <v>06437</v>
      </c>
      <c r="H650" t="str">
        <f>"2034531619"</f>
        <v>2034531619</v>
      </c>
      <c r="I650" t="str">
        <f t="shared" si="64"/>
        <v>ENGLISH</v>
      </c>
    </row>
    <row r="651" spans="1:9" x14ac:dyDescent="0.3">
      <c r="A651" t="str">
        <f t="shared" si="65"/>
        <v>WALGREEN EASTERN CO INC</v>
      </c>
      <c r="B651" t="str">
        <f t="shared" si="66"/>
        <v>Pharmacy</v>
      </c>
      <c r="C651" t="str">
        <f>"4083 MAIN STREET"</f>
        <v>4083 MAIN STREET</v>
      </c>
      <c r="D651" t="str">
        <f>""</f>
        <v/>
      </c>
      <c r="E651" t="str">
        <f>"BRIDGEPORT"</f>
        <v>BRIDGEPORT</v>
      </c>
      <c r="F651" t="str">
        <f t="shared" si="63"/>
        <v>CT</v>
      </c>
      <c r="G651" t="str">
        <f>"06606"</f>
        <v>06606</v>
      </c>
      <c r="H651" t="str">
        <f>"2033742819"</f>
        <v>2033742819</v>
      </c>
      <c r="I651" t="str">
        <f t="shared" si="64"/>
        <v>ENGLISH</v>
      </c>
    </row>
    <row r="652" spans="1:9" x14ac:dyDescent="0.3">
      <c r="A652" t="str">
        <f t="shared" si="65"/>
        <v>WALGREEN EASTERN CO INC</v>
      </c>
      <c r="B652" t="str">
        <f t="shared" si="66"/>
        <v>Pharmacy</v>
      </c>
      <c r="C652" t="str">
        <f>"980 FARMINGTON AVE"</f>
        <v>980 FARMINGTON AVE</v>
      </c>
      <c r="D652" t="str">
        <f>""</f>
        <v/>
      </c>
      <c r="E652" t="str">
        <f>"BERLIN"</f>
        <v>BERLIN</v>
      </c>
      <c r="F652" t="str">
        <f t="shared" si="63"/>
        <v>CT</v>
      </c>
      <c r="G652" t="str">
        <f>"06037"</f>
        <v>06037</v>
      </c>
      <c r="H652" t="str">
        <f>"8608286844"</f>
        <v>8608286844</v>
      </c>
      <c r="I652" t="str">
        <f t="shared" si="64"/>
        <v>ENGLISH</v>
      </c>
    </row>
    <row r="653" spans="1:9" x14ac:dyDescent="0.3">
      <c r="A653" t="str">
        <f t="shared" si="65"/>
        <v>WALGREEN EASTERN CO INC</v>
      </c>
      <c r="B653" t="str">
        <f t="shared" si="66"/>
        <v>Pharmacy</v>
      </c>
      <c r="C653" t="str">
        <f>"2 SHAKER ROAD"</f>
        <v>2 SHAKER ROAD</v>
      </c>
      <c r="D653" t="str">
        <f>""</f>
        <v/>
      </c>
      <c r="E653" t="str">
        <f>"ENFIELD"</f>
        <v>ENFIELD</v>
      </c>
      <c r="F653" t="str">
        <f t="shared" si="63"/>
        <v>CT</v>
      </c>
      <c r="G653" t="str">
        <f>"06082"</f>
        <v>06082</v>
      </c>
      <c r="H653" t="str">
        <f>"8602530463"</f>
        <v>8602530463</v>
      </c>
      <c r="I653" t="str">
        <f t="shared" si="64"/>
        <v>ENGLISH</v>
      </c>
    </row>
    <row r="654" spans="1:9" x14ac:dyDescent="0.3">
      <c r="A654" t="str">
        <f t="shared" si="65"/>
        <v>WALGREEN EASTERN CO INC</v>
      </c>
      <c r="B654" t="str">
        <f t="shared" si="66"/>
        <v>Pharmacy</v>
      </c>
      <c r="C654" t="str">
        <f>"275 MONROE TPKE"</f>
        <v>275 MONROE TPKE</v>
      </c>
      <c r="D654" t="str">
        <f>""</f>
        <v/>
      </c>
      <c r="E654" t="str">
        <f>"MONROE"</f>
        <v>MONROE</v>
      </c>
      <c r="F654" t="str">
        <f t="shared" si="63"/>
        <v>CT</v>
      </c>
      <c r="G654" t="str">
        <f>"06468"</f>
        <v>06468</v>
      </c>
      <c r="H654" t="str">
        <f>"2032681216"</f>
        <v>2032681216</v>
      </c>
      <c r="I654" t="str">
        <f t="shared" si="64"/>
        <v>ENGLISH</v>
      </c>
    </row>
    <row r="655" spans="1:9" x14ac:dyDescent="0.3">
      <c r="A655" t="str">
        <f t="shared" si="65"/>
        <v>WALGREEN EASTERN CO INC</v>
      </c>
      <c r="B655" t="str">
        <f t="shared" si="66"/>
        <v>Pharmacy</v>
      </c>
      <c r="C655" t="str">
        <f>"218 EAST MAIN STREET"</f>
        <v>218 EAST MAIN STREET</v>
      </c>
      <c r="D655" t="str">
        <f>""</f>
        <v/>
      </c>
      <c r="E655" t="str">
        <f>"CLINTON"</f>
        <v>CLINTON</v>
      </c>
      <c r="F655" t="str">
        <f t="shared" si="63"/>
        <v>CT</v>
      </c>
      <c r="G655" t="str">
        <f>"06413"</f>
        <v>06413</v>
      </c>
      <c r="H655" t="str">
        <f>"8606644641"</f>
        <v>8606644641</v>
      </c>
      <c r="I655" t="str">
        <f t="shared" si="64"/>
        <v>ENGLISH</v>
      </c>
    </row>
    <row r="656" spans="1:9" x14ac:dyDescent="0.3">
      <c r="A656" t="str">
        <f t="shared" si="65"/>
        <v>WALGREEN EASTERN CO INC</v>
      </c>
      <c r="B656" t="str">
        <f t="shared" si="66"/>
        <v>Pharmacy</v>
      </c>
      <c r="C656" t="str">
        <f>"134 STATE STREET STE 110"</f>
        <v>134 STATE STREET STE 110</v>
      </c>
      <c r="D656" t="str">
        <f>""</f>
        <v/>
      </c>
      <c r="E656" t="str">
        <f>"MERIDEN"</f>
        <v>MERIDEN</v>
      </c>
      <c r="F656" t="str">
        <f t="shared" si="63"/>
        <v>CT</v>
      </c>
      <c r="G656" t="str">
        <f>"06450"</f>
        <v>06450</v>
      </c>
      <c r="H656" t="str">
        <f>"2036343241"</f>
        <v>2036343241</v>
      </c>
      <c r="I656" t="str">
        <f t="shared" si="64"/>
        <v>ENGLISH</v>
      </c>
    </row>
    <row r="657" spans="1:9" x14ac:dyDescent="0.3">
      <c r="A657" t="str">
        <f t="shared" si="65"/>
        <v>WALGREEN EASTERN CO INC</v>
      </c>
      <c r="B657" t="str">
        <f t="shared" si="66"/>
        <v>Pharmacy</v>
      </c>
      <c r="C657" t="str">
        <f>"28 EAST ELM STREET"</f>
        <v>28 EAST ELM STREET</v>
      </c>
      <c r="D657" t="str">
        <f>""</f>
        <v/>
      </c>
      <c r="E657" t="str">
        <f>"TORRINGTON"</f>
        <v>TORRINGTON</v>
      </c>
      <c r="F657" t="str">
        <f t="shared" ref="F657:F686" si="67">"CT"</f>
        <v>CT</v>
      </c>
      <c r="G657" t="str">
        <f>"06790"</f>
        <v>06790</v>
      </c>
      <c r="H657" t="str">
        <f>"8604825621"</f>
        <v>8604825621</v>
      </c>
      <c r="I657" t="str">
        <f t="shared" si="64"/>
        <v>ENGLISH</v>
      </c>
    </row>
    <row r="658" spans="1:9" x14ac:dyDescent="0.3">
      <c r="A658" t="str">
        <f t="shared" si="65"/>
        <v>WALGREEN EASTERN CO INC</v>
      </c>
      <c r="B658" t="str">
        <f t="shared" si="66"/>
        <v>Pharmacy</v>
      </c>
      <c r="C658" t="str">
        <f>"2920 BERLIN TURNPIKE"</f>
        <v>2920 BERLIN TURNPIKE</v>
      </c>
      <c r="D658" t="str">
        <f>""</f>
        <v/>
      </c>
      <c r="E658" t="str">
        <f>"NEWINGTON"</f>
        <v>NEWINGTON</v>
      </c>
      <c r="F658" t="str">
        <f t="shared" si="67"/>
        <v>CT</v>
      </c>
      <c r="G658" t="str">
        <f>"06111"</f>
        <v>06111</v>
      </c>
      <c r="H658" t="str">
        <f>"8606670461"</f>
        <v>8606670461</v>
      </c>
      <c r="I658" t="str">
        <f t="shared" si="64"/>
        <v>ENGLISH</v>
      </c>
    </row>
    <row r="659" spans="1:9" x14ac:dyDescent="0.3">
      <c r="A659" t="str">
        <f t="shared" si="65"/>
        <v>WALGREEN EASTERN CO INC</v>
      </c>
      <c r="B659" t="str">
        <f t="shared" si="66"/>
        <v>Pharmacy</v>
      </c>
      <c r="C659" t="str">
        <f>"88 YORK ST"</f>
        <v>88 YORK ST</v>
      </c>
      <c r="D659" t="str">
        <f>""</f>
        <v/>
      </c>
      <c r="E659" t="str">
        <f>"NEW HAVEN"</f>
        <v>NEW HAVEN</v>
      </c>
      <c r="F659" t="str">
        <f t="shared" si="67"/>
        <v>CT</v>
      </c>
      <c r="G659" t="str">
        <f>"06511"</f>
        <v>06511</v>
      </c>
      <c r="H659" t="str">
        <f>"2037529893"</f>
        <v>2037529893</v>
      </c>
      <c r="I659" t="str">
        <f t="shared" si="64"/>
        <v>ENGLISH</v>
      </c>
    </row>
    <row r="660" spans="1:9" x14ac:dyDescent="0.3">
      <c r="A660" t="str">
        <f t="shared" si="65"/>
        <v>WALGREEN EASTERN CO INC</v>
      </c>
      <c r="B660" t="str">
        <f t="shared" si="66"/>
        <v>Pharmacy</v>
      </c>
      <c r="C660" t="str">
        <f>"49 SOUTH MAIN STREET"</f>
        <v>49 SOUTH MAIN STREET</v>
      </c>
      <c r="D660" t="str">
        <f>""</f>
        <v/>
      </c>
      <c r="E660" t="str">
        <f>"NEWTOWN"</f>
        <v>NEWTOWN</v>
      </c>
      <c r="F660" t="str">
        <f t="shared" si="67"/>
        <v>CT</v>
      </c>
      <c r="G660" t="str">
        <f>"06470"</f>
        <v>06470</v>
      </c>
      <c r="H660" t="str">
        <f>"2032704658"</f>
        <v>2032704658</v>
      </c>
      <c r="I660" t="str">
        <f t="shared" si="64"/>
        <v>ENGLISH</v>
      </c>
    </row>
    <row r="661" spans="1:9" x14ac:dyDescent="0.3">
      <c r="A661" t="str">
        <f t="shared" si="65"/>
        <v>WALGREEN EASTERN CO INC</v>
      </c>
      <c r="B661" t="str">
        <f t="shared" si="66"/>
        <v>Pharmacy</v>
      </c>
      <c r="C661" t="str">
        <f>"1312 MANCHESTER RD"</f>
        <v>1312 MANCHESTER RD</v>
      </c>
      <c r="D661" t="str">
        <f>""</f>
        <v/>
      </c>
      <c r="E661" t="str">
        <f>"GLASTONBURY"</f>
        <v>GLASTONBURY</v>
      </c>
      <c r="F661" t="str">
        <f t="shared" si="67"/>
        <v>CT</v>
      </c>
      <c r="G661" t="str">
        <f>"06033"</f>
        <v>06033</v>
      </c>
      <c r="H661" t="str">
        <f>"8607817073"</f>
        <v>8607817073</v>
      </c>
      <c r="I661" t="str">
        <f t="shared" si="64"/>
        <v>ENGLISH</v>
      </c>
    </row>
    <row r="662" spans="1:9" x14ac:dyDescent="0.3">
      <c r="A662" t="str">
        <f t="shared" si="65"/>
        <v>WALGREEN EASTERN CO INC</v>
      </c>
      <c r="B662" t="str">
        <f t="shared" si="66"/>
        <v>Pharmacy</v>
      </c>
      <c r="C662" t="str">
        <f>"203 KENNEDY DR"</f>
        <v>203 KENNEDY DR</v>
      </c>
      <c r="D662" t="str">
        <f>""</f>
        <v/>
      </c>
      <c r="E662" t="str">
        <f>"PUTNAM"</f>
        <v>PUTNAM</v>
      </c>
      <c r="F662" t="str">
        <f t="shared" si="67"/>
        <v>CT</v>
      </c>
      <c r="G662" t="str">
        <f>"06260"</f>
        <v>06260</v>
      </c>
      <c r="H662" t="str">
        <f>"8609637230"</f>
        <v>8609637230</v>
      </c>
      <c r="I662" t="str">
        <f t="shared" si="64"/>
        <v>ENGLISH</v>
      </c>
    </row>
    <row r="663" spans="1:9" x14ac:dyDescent="0.3">
      <c r="A663" t="str">
        <f t="shared" si="65"/>
        <v>WALGREEN EASTERN CO INC</v>
      </c>
      <c r="B663" t="str">
        <f t="shared" si="66"/>
        <v>Pharmacy</v>
      </c>
      <c r="C663" t="str">
        <f>"340 FLANDERS RD"</f>
        <v>340 FLANDERS RD</v>
      </c>
      <c r="D663" t="str">
        <f>""</f>
        <v/>
      </c>
      <c r="E663" t="str">
        <f>"EAST LYME"</f>
        <v>EAST LYME</v>
      </c>
      <c r="F663" t="str">
        <f t="shared" si="67"/>
        <v>CT</v>
      </c>
      <c r="G663" t="str">
        <f>"06333"</f>
        <v>06333</v>
      </c>
      <c r="H663" t="str">
        <f>"8607399007"</f>
        <v>8607399007</v>
      </c>
      <c r="I663" t="str">
        <f t="shared" si="64"/>
        <v>ENGLISH</v>
      </c>
    </row>
    <row r="664" spans="1:9" x14ac:dyDescent="0.3">
      <c r="A664" t="str">
        <f t="shared" si="65"/>
        <v>WALGREEN EASTERN CO INC</v>
      </c>
      <c r="B664" t="str">
        <f t="shared" si="66"/>
        <v>Pharmacy</v>
      </c>
      <c r="C664" t="str">
        <f>"20 PROSPECT ST"</f>
        <v>20 PROSPECT ST</v>
      </c>
      <c r="D664" t="str">
        <f>""</f>
        <v/>
      </c>
      <c r="E664" t="str">
        <f>"MOOSUP"</f>
        <v>MOOSUP</v>
      </c>
      <c r="F664" t="str">
        <f t="shared" si="67"/>
        <v>CT</v>
      </c>
      <c r="G664" t="str">
        <f>"06354"</f>
        <v>06354</v>
      </c>
      <c r="H664" t="str">
        <f>"8605645871"</f>
        <v>8605645871</v>
      </c>
      <c r="I664" t="str">
        <f t="shared" si="64"/>
        <v>ENGLISH</v>
      </c>
    </row>
    <row r="665" spans="1:9" x14ac:dyDescent="0.3">
      <c r="A665" t="str">
        <f t="shared" si="65"/>
        <v>WALGREEN EASTERN CO INC</v>
      </c>
      <c r="B665" t="str">
        <f t="shared" si="66"/>
        <v>Pharmacy</v>
      </c>
      <c r="C665" t="str">
        <f>"620 MAIN ST"</f>
        <v>620 MAIN ST</v>
      </c>
      <c r="D665" t="str">
        <f>""</f>
        <v/>
      </c>
      <c r="E665" t="str">
        <f>"WATERTOWN"</f>
        <v>WATERTOWN</v>
      </c>
      <c r="F665" t="str">
        <f t="shared" si="67"/>
        <v>CT</v>
      </c>
      <c r="G665" t="str">
        <f>"06795"</f>
        <v>06795</v>
      </c>
      <c r="H665" t="str">
        <f>"8602747559"</f>
        <v>8602747559</v>
      </c>
      <c r="I665" t="str">
        <f t="shared" si="64"/>
        <v>ENGLISH</v>
      </c>
    </row>
    <row r="666" spans="1:9" x14ac:dyDescent="0.3">
      <c r="A666" t="str">
        <f t="shared" si="65"/>
        <v>WALGREEN EASTERN CO INC</v>
      </c>
      <c r="B666" t="str">
        <f t="shared" si="66"/>
        <v>Pharmacy</v>
      </c>
      <c r="C666" t="str">
        <f>"227 MAIN ST"</f>
        <v>227 MAIN ST</v>
      </c>
      <c r="D666" t="str">
        <f>""</f>
        <v/>
      </c>
      <c r="E666" t="str">
        <f>"PORTLAND"</f>
        <v>PORTLAND</v>
      </c>
      <c r="F666" t="str">
        <f t="shared" si="67"/>
        <v>CT</v>
      </c>
      <c r="G666" t="str">
        <f>"06480"</f>
        <v>06480</v>
      </c>
      <c r="H666" t="str">
        <f>"8605897713"</f>
        <v>8605897713</v>
      </c>
      <c r="I666" t="str">
        <f t="shared" si="64"/>
        <v>ENGLISH</v>
      </c>
    </row>
    <row r="667" spans="1:9" x14ac:dyDescent="0.3">
      <c r="A667" t="str">
        <f t="shared" si="65"/>
        <v>WALGREEN EASTERN CO INC</v>
      </c>
      <c r="B667" t="str">
        <f t="shared" si="66"/>
        <v>Pharmacy</v>
      </c>
      <c r="C667" t="str">
        <f>"1291 ALBANY AVE"</f>
        <v>1291 ALBANY AVE</v>
      </c>
      <c r="D667" t="str">
        <f>""</f>
        <v/>
      </c>
      <c r="E667" t="str">
        <f>"HARTFORD"</f>
        <v>HARTFORD</v>
      </c>
      <c r="F667" t="str">
        <f t="shared" si="67"/>
        <v>CT</v>
      </c>
      <c r="G667" t="str">
        <f>"06112"</f>
        <v>06112</v>
      </c>
      <c r="H667" t="str">
        <f>"8605601881"</f>
        <v>8605601881</v>
      </c>
      <c r="I667" t="str">
        <f t="shared" ref="I667:I694" si="68">"ENGLISH"</f>
        <v>ENGLISH</v>
      </c>
    </row>
    <row r="668" spans="1:9" x14ac:dyDescent="0.3">
      <c r="A668" t="str">
        <f t="shared" si="65"/>
        <v>WALGREEN EASTERN CO INC</v>
      </c>
      <c r="B668" t="str">
        <f t="shared" si="66"/>
        <v>Pharmacy</v>
      </c>
      <c r="C668" t="str">
        <f>"27 MAIN ST"</f>
        <v>27 MAIN ST</v>
      </c>
      <c r="D668" t="str">
        <f>""</f>
        <v/>
      </c>
      <c r="E668" t="str">
        <f>"JEWETT CITY"</f>
        <v>JEWETT CITY</v>
      </c>
      <c r="F668" t="str">
        <f t="shared" si="67"/>
        <v>CT</v>
      </c>
      <c r="G668" t="str">
        <f>"06351"</f>
        <v>06351</v>
      </c>
      <c r="H668" t="str">
        <f>"8603761206"</f>
        <v>8603761206</v>
      </c>
      <c r="I668" t="str">
        <f t="shared" si="68"/>
        <v>ENGLISH</v>
      </c>
    </row>
    <row r="669" spans="1:9" x14ac:dyDescent="0.3">
      <c r="A669" t="str">
        <f t="shared" si="65"/>
        <v>WALGREEN EASTERN CO INC</v>
      </c>
      <c r="B669" t="str">
        <f t="shared" si="66"/>
        <v>Pharmacy</v>
      </c>
      <c r="C669" t="str">
        <f>"835 PARK AVE"</f>
        <v>835 PARK AVE</v>
      </c>
      <c r="D669" t="str">
        <f>""</f>
        <v/>
      </c>
      <c r="E669" t="str">
        <f>"BLOOMFIELD"</f>
        <v>BLOOMFIELD</v>
      </c>
      <c r="F669" t="str">
        <f t="shared" si="67"/>
        <v>CT</v>
      </c>
      <c r="G669" t="str">
        <f>"06002"</f>
        <v>06002</v>
      </c>
      <c r="H669" t="str">
        <f>"8602425551"</f>
        <v>8602425551</v>
      </c>
      <c r="I669" t="str">
        <f t="shared" si="68"/>
        <v>ENGLISH</v>
      </c>
    </row>
    <row r="670" spans="1:9" x14ac:dyDescent="0.3">
      <c r="A670" t="str">
        <f t="shared" si="65"/>
        <v>WALGREEN EASTERN CO INC</v>
      </c>
      <c r="B670" t="str">
        <f t="shared" si="66"/>
        <v>Pharmacy</v>
      </c>
      <c r="C670" t="str">
        <f>"37 S BROAD ST"</f>
        <v>37 S BROAD ST</v>
      </c>
      <c r="D670" t="str">
        <f>""</f>
        <v/>
      </c>
      <c r="E670" t="str">
        <f>"PAWCATUCK"</f>
        <v>PAWCATUCK</v>
      </c>
      <c r="F670" t="str">
        <f t="shared" si="67"/>
        <v>CT</v>
      </c>
      <c r="G670" t="str">
        <f>"06379"</f>
        <v>06379</v>
      </c>
      <c r="H670" t="str">
        <f>"8605994030"</f>
        <v>8605994030</v>
      </c>
      <c r="I670" t="str">
        <f t="shared" si="68"/>
        <v>ENGLISH</v>
      </c>
    </row>
    <row r="671" spans="1:9" x14ac:dyDescent="0.3">
      <c r="A671" t="str">
        <f t="shared" si="65"/>
        <v>WALGREEN EASTERN CO INC</v>
      </c>
      <c r="B671" t="str">
        <f t="shared" si="66"/>
        <v>Pharmacy</v>
      </c>
      <c r="C671" t="str">
        <f>"601 NORWICH NEW LONDON TPKE"</f>
        <v>601 NORWICH NEW LONDON TPKE</v>
      </c>
      <c r="D671" t="str">
        <f>"STE F"</f>
        <v>STE F</v>
      </c>
      <c r="E671" t="str">
        <f>"UNCASVILLE"</f>
        <v>UNCASVILLE</v>
      </c>
      <c r="F671" t="str">
        <f t="shared" si="67"/>
        <v>CT</v>
      </c>
      <c r="G671" t="str">
        <f>"06382"</f>
        <v>06382</v>
      </c>
      <c r="H671" t="str">
        <f>"8960848797"</f>
        <v>8960848797</v>
      </c>
      <c r="I671" t="str">
        <f t="shared" si="68"/>
        <v>ENGLISH</v>
      </c>
    </row>
    <row r="672" spans="1:9" x14ac:dyDescent="0.3">
      <c r="A672" t="str">
        <f t="shared" si="65"/>
        <v>WALGREEN EASTERN CO INC</v>
      </c>
      <c r="B672" t="str">
        <f t="shared" si="66"/>
        <v>Pharmacy</v>
      </c>
      <c r="C672" t="str">
        <f>"331 WEST ST"</f>
        <v>331 WEST ST</v>
      </c>
      <c r="D672" t="str">
        <f>""</f>
        <v/>
      </c>
      <c r="E672" t="str">
        <f>"LITCHFIELD"</f>
        <v>LITCHFIELD</v>
      </c>
      <c r="F672" t="str">
        <f t="shared" si="67"/>
        <v>CT</v>
      </c>
      <c r="G672" t="str">
        <f>"06759"</f>
        <v>06759</v>
      </c>
      <c r="H672" t="str">
        <f>"8605677064"</f>
        <v>8605677064</v>
      </c>
      <c r="I672" t="str">
        <f t="shared" si="68"/>
        <v>ENGLISH</v>
      </c>
    </row>
    <row r="673" spans="1:9" x14ac:dyDescent="0.3">
      <c r="A673" t="str">
        <f t="shared" ref="A673:A680" si="69">"WALGREEN EASTERN CO INC"</f>
        <v>WALGREEN EASTERN CO INC</v>
      </c>
      <c r="B673" t="str">
        <f t="shared" si="66"/>
        <v>Pharmacy</v>
      </c>
      <c r="C673" t="str">
        <f>"125 WESTBROOK RD STE 7"</f>
        <v>125 WESTBROOK RD STE 7</v>
      </c>
      <c r="D673" t="str">
        <f>""</f>
        <v/>
      </c>
      <c r="E673" t="str">
        <f>"ESSEX"</f>
        <v>ESSEX</v>
      </c>
      <c r="F673" t="str">
        <f t="shared" si="67"/>
        <v>CT</v>
      </c>
      <c r="G673" t="str">
        <f>"06426"</f>
        <v>06426</v>
      </c>
      <c r="H673" t="str">
        <f>"8607672181"</f>
        <v>8607672181</v>
      </c>
      <c r="I673" t="str">
        <f t="shared" si="68"/>
        <v>ENGLISH</v>
      </c>
    </row>
    <row r="674" spans="1:9" x14ac:dyDescent="0.3">
      <c r="A674" t="str">
        <f t="shared" si="69"/>
        <v>WALGREEN EASTERN CO INC</v>
      </c>
      <c r="B674" t="str">
        <f t="shared" si="66"/>
        <v>Pharmacy</v>
      </c>
      <c r="C674" t="str">
        <f>"76 MAIN ST"</f>
        <v>76 MAIN ST</v>
      </c>
      <c r="D674" t="str">
        <f>""</f>
        <v/>
      </c>
      <c r="E674" t="str">
        <f>"CANAAN"</f>
        <v>CANAAN</v>
      </c>
      <c r="F674" t="str">
        <f t="shared" si="67"/>
        <v>CT</v>
      </c>
      <c r="G674" t="str">
        <f>"06018"</f>
        <v>06018</v>
      </c>
      <c r="H674" t="str">
        <f>"8608245481"</f>
        <v>8608245481</v>
      </c>
      <c r="I674" t="str">
        <f t="shared" si="68"/>
        <v>ENGLISH</v>
      </c>
    </row>
    <row r="675" spans="1:9" x14ac:dyDescent="0.3">
      <c r="A675" t="str">
        <f t="shared" si="69"/>
        <v>WALGREEN EASTERN CO INC</v>
      </c>
      <c r="B675" t="str">
        <f t="shared" si="66"/>
        <v>Pharmacy</v>
      </c>
      <c r="C675" t="str">
        <f>"455 S MAIN ST"</f>
        <v>455 S MAIN ST</v>
      </c>
      <c r="D675" t="str">
        <f>""</f>
        <v/>
      </c>
      <c r="E675" t="str">
        <f>"THOMASTON"</f>
        <v>THOMASTON</v>
      </c>
      <c r="F675" t="str">
        <f t="shared" si="67"/>
        <v>CT</v>
      </c>
      <c r="G675" t="str">
        <f>"06787"</f>
        <v>06787</v>
      </c>
      <c r="H675" t="str">
        <f>"8602838541"</f>
        <v>8602838541</v>
      </c>
      <c r="I675" t="str">
        <f t="shared" si="68"/>
        <v>ENGLISH</v>
      </c>
    </row>
    <row r="676" spans="1:9" x14ac:dyDescent="0.3">
      <c r="A676" t="str">
        <f t="shared" si="69"/>
        <v>WALGREEN EASTERN CO INC</v>
      </c>
      <c r="B676" t="str">
        <f t="shared" si="66"/>
        <v>Pharmacy</v>
      </c>
      <c r="C676" t="str">
        <f>"84 W STAFFORD RD"</f>
        <v>84 W STAFFORD RD</v>
      </c>
      <c r="D676" t="str">
        <f>""</f>
        <v/>
      </c>
      <c r="E676" t="str">
        <f>"STAFFORD SPRINGS"</f>
        <v>STAFFORD SPRINGS</v>
      </c>
      <c r="F676" t="str">
        <f t="shared" si="67"/>
        <v>CT</v>
      </c>
      <c r="G676" t="str">
        <f>"06076"</f>
        <v>06076</v>
      </c>
      <c r="H676" t="str">
        <f>"8606849555"</f>
        <v>8606849555</v>
      </c>
      <c r="I676" t="str">
        <f t="shared" si="68"/>
        <v>ENGLISH</v>
      </c>
    </row>
    <row r="677" spans="1:9" x14ac:dyDescent="0.3">
      <c r="A677" t="str">
        <f t="shared" si="69"/>
        <v>WALGREEN EASTERN CO INC</v>
      </c>
      <c r="B677" t="str">
        <f t="shared" si="66"/>
        <v>Pharmacy</v>
      </c>
      <c r="C677" t="str">
        <f>"71 PALOMBA DR"</f>
        <v>71 PALOMBA DR</v>
      </c>
      <c r="D677" t="str">
        <f>""</f>
        <v/>
      </c>
      <c r="E677" t="str">
        <f>"ENFIELD"</f>
        <v>ENFIELD</v>
      </c>
      <c r="F677" t="str">
        <f t="shared" si="67"/>
        <v>CT</v>
      </c>
      <c r="G677" t="str">
        <f>"06082"</f>
        <v>06082</v>
      </c>
      <c r="H677" t="str">
        <f>"8607494184"</f>
        <v>8607494184</v>
      </c>
      <c r="I677" t="str">
        <f t="shared" si="68"/>
        <v>ENGLISH</v>
      </c>
    </row>
    <row r="678" spans="1:9" x14ac:dyDescent="0.3">
      <c r="A678" t="str">
        <f t="shared" si="69"/>
        <v>WALGREEN EASTERN CO INC</v>
      </c>
      <c r="B678" t="str">
        <f t="shared" si="66"/>
        <v>Pharmacy</v>
      </c>
      <c r="C678" t="str">
        <f>"1271 MAIN ST"</f>
        <v>1271 MAIN ST</v>
      </c>
      <c r="D678" t="str">
        <f>""</f>
        <v/>
      </c>
      <c r="E678" t="str">
        <f>"WATERTOWN"</f>
        <v>WATERTOWN</v>
      </c>
      <c r="F678" t="str">
        <f t="shared" si="67"/>
        <v>CT</v>
      </c>
      <c r="G678" t="str">
        <f>"06975"</f>
        <v>06975</v>
      </c>
      <c r="H678" t="str">
        <f>"8602749191"</f>
        <v>8602749191</v>
      </c>
      <c r="I678" t="str">
        <f t="shared" si="68"/>
        <v>ENGLISH</v>
      </c>
    </row>
    <row r="679" spans="1:9" x14ac:dyDescent="0.3">
      <c r="A679" t="str">
        <f t="shared" si="69"/>
        <v>WALGREEN EASTERN CO INC</v>
      </c>
      <c r="B679" t="str">
        <f t="shared" si="66"/>
        <v>Pharmacy</v>
      </c>
      <c r="C679" t="str">
        <f>"414 KINGS HIGHWAY EAST"</f>
        <v>414 KINGS HIGHWAY EAST</v>
      </c>
      <c r="D679" t="str">
        <f>""</f>
        <v/>
      </c>
      <c r="E679" t="str">
        <f>"FAIRFIELD"</f>
        <v>FAIRFIELD</v>
      </c>
      <c r="F679" t="str">
        <f t="shared" si="67"/>
        <v>CT</v>
      </c>
      <c r="G679" t="str">
        <f>"06825"</f>
        <v>06825</v>
      </c>
      <c r="H679" t="str">
        <f>"2033363551"</f>
        <v>2033363551</v>
      </c>
      <c r="I679" t="str">
        <f t="shared" si="68"/>
        <v>ENGLISH</v>
      </c>
    </row>
    <row r="680" spans="1:9" x14ac:dyDescent="0.3">
      <c r="A680" t="str">
        <f t="shared" si="69"/>
        <v>WALGREEN EASTERN CO INC</v>
      </c>
      <c r="B680" t="str">
        <f t="shared" si="66"/>
        <v>Pharmacy</v>
      </c>
      <c r="C680" t="str">
        <f>"1606 BARNUM AVE"</f>
        <v>1606 BARNUM AVE</v>
      </c>
      <c r="D680" t="str">
        <f>""</f>
        <v/>
      </c>
      <c r="E680" t="str">
        <f>"STRATFORD"</f>
        <v>STRATFORD</v>
      </c>
      <c r="F680" t="str">
        <f t="shared" si="67"/>
        <v>CT</v>
      </c>
      <c r="G680" t="str">
        <f>"06614"</f>
        <v>06614</v>
      </c>
      <c r="H680" t="str">
        <f>"2033772851"</f>
        <v>2033772851</v>
      </c>
      <c r="I680" t="str">
        <f t="shared" si="68"/>
        <v>ENGLISH</v>
      </c>
    </row>
    <row r="681" spans="1:9" x14ac:dyDescent="0.3">
      <c r="A681" t="str">
        <f>"WALGREEN EASTERN CO. INC"</f>
        <v>WALGREEN EASTERN CO. INC</v>
      </c>
      <c r="B681" t="str">
        <f t="shared" si="66"/>
        <v>Pharmacy</v>
      </c>
      <c r="C681" t="str">
        <f>"101 FEDERAL ROAD"</f>
        <v>101 FEDERAL ROAD</v>
      </c>
      <c r="D681" t="str">
        <f>""</f>
        <v/>
      </c>
      <c r="E681" t="str">
        <f>"DANBURY"</f>
        <v>DANBURY</v>
      </c>
      <c r="F681" t="str">
        <f t="shared" si="67"/>
        <v>CT</v>
      </c>
      <c r="G681" t="str">
        <f>"06811"</f>
        <v>06811</v>
      </c>
      <c r="H681" t="str">
        <f>"2037987753"</f>
        <v>2037987753</v>
      </c>
      <c r="I681" t="str">
        <f t="shared" si="68"/>
        <v>ENGLISH</v>
      </c>
    </row>
    <row r="682" spans="1:9" x14ac:dyDescent="0.3">
      <c r="A682" t="str">
        <f>"WALGREEN EASTERN CO. INC"</f>
        <v>WALGREEN EASTERN CO. INC</v>
      </c>
      <c r="B682" t="str">
        <f t="shared" si="66"/>
        <v>Pharmacy</v>
      </c>
      <c r="C682" t="str">
        <f>"441 LONG HILL RD"</f>
        <v>441 LONG HILL RD</v>
      </c>
      <c r="D682" t="str">
        <f>""</f>
        <v/>
      </c>
      <c r="E682" t="str">
        <f>"GROTON"</f>
        <v>GROTON</v>
      </c>
      <c r="F682" t="str">
        <f t="shared" si="67"/>
        <v>CT</v>
      </c>
      <c r="G682" t="str">
        <f>"06340"</f>
        <v>06340</v>
      </c>
      <c r="H682" t="str">
        <f>"8604051919"</f>
        <v>8604051919</v>
      </c>
      <c r="I682" t="str">
        <f t="shared" si="68"/>
        <v>ENGLISH</v>
      </c>
    </row>
    <row r="683" spans="1:9" x14ac:dyDescent="0.3">
      <c r="A683" t="str">
        <f>"WALGREEN EASTERN CO. INC"</f>
        <v>WALGREEN EASTERN CO. INC</v>
      </c>
      <c r="B683" t="str">
        <f t="shared" si="66"/>
        <v>Pharmacy</v>
      </c>
      <c r="C683" t="str">
        <f>"95 LOCUST AVE., STE 100"</f>
        <v>95 LOCUST AVE., STE 100</v>
      </c>
      <c r="D683" t="str">
        <f>""</f>
        <v/>
      </c>
      <c r="E683" t="str">
        <f>"DANBURY"</f>
        <v>DANBURY</v>
      </c>
      <c r="F683" t="str">
        <f t="shared" si="67"/>
        <v>CT</v>
      </c>
      <c r="G683" t="str">
        <f>"06810"</f>
        <v>06810</v>
      </c>
      <c r="H683" t="str">
        <f>"2037922044"</f>
        <v>2037922044</v>
      </c>
      <c r="I683" t="str">
        <f t="shared" si="68"/>
        <v>ENGLISH</v>
      </c>
    </row>
    <row r="684" spans="1:9" x14ac:dyDescent="0.3">
      <c r="A684" t="str">
        <f>"WALGREEN EASTERN CO. INC"</f>
        <v>WALGREEN EASTERN CO. INC</v>
      </c>
      <c r="B684" t="str">
        <f t="shared" si="66"/>
        <v>Pharmacy</v>
      </c>
      <c r="C684" t="str">
        <f>"180 MAIN ST."</f>
        <v>180 MAIN ST.</v>
      </c>
      <c r="D684" t="str">
        <f>""</f>
        <v/>
      </c>
      <c r="E684" t="str">
        <f>"DEEP RIVER"</f>
        <v>DEEP RIVER</v>
      </c>
      <c r="F684" t="str">
        <f t="shared" si="67"/>
        <v>CT</v>
      </c>
      <c r="G684" t="str">
        <f>"06417"</f>
        <v>06417</v>
      </c>
      <c r="H684" t="str">
        <f>"8605268052"</f>
        <v>8605268052</v>
      </c>
      <c r="I684" t="str">
        <f t="shared" si="68"/>
        <v>ENGLISH</v>
      </c>
    </row>
    <row r="685" spans="1:9" x14ac:dyDescent="0.3">
      <c r="A685" t="str">
        <f>"WALGREEN EASTERN CO., INC"</f>
        <v>WALGREEN EASTERN CO., INC</v>
      </c>
      <c r="B685" t="str">
        <f t="shared" si="66"/>
        <v>Pharmacy</v>
      </c>
      <c r="C685" t="str">
        <f>"5 FARMINGTON AVE"</f>
        <v>5 FARMINGTON AVE</v>
      </c>
      <c r="D685" t="str">
        <f>""</f>
        <v/>
      </c>
      <c r="E685" t="str">
        <f>"PLAINVILLE"</f>
        <v>PLAINVILLE</v>
      </c>
      <c r="F685" t="str">
        <f t="shared" si="67"/>
        <v>CT</v>
      </c>
      <c r="G685" t="str">
        <f>"06062"</f>
        <v>06062</v>
      </c>
      <c r="H685" t="str">
        <f>"8608939356"</f>
        <v>8608939356</v>
      </c>
      <c r="I685" t="str">
        <f t="shared" si="68"/>
        <v>ENGLISH</v>
      </c>
    </row>
    <row r="686" spans="1:9" x14ac:dyDescent="0.3">
      <c r="A686" t="str">
        <f>"WALGREEN SPECIALTY PHARMACY #13969"</f>
        <v>WALGREEN SPECIALTY PHARMACY #13969</v>
      </c>
      <c r="B686" t="str">
        <f t="shared" si="66"/>
        <v>Pharmacy</v>
      </c>
      <c r="C686" t="str">
        <f>"55 PARK STREET STE 1A"</f>
        <v>55 PARK STREET STE 1A</v>
      </c>
      <c r="D686" t="str">
        <f>""</f>
        <v/>
      </c>
      <c r="E686" t="str">
        <f>"NEW HAVEN"</f>
        <v>NEW HAVEN</v>
      </c>
      <c r="F686" t="str">
        <f t="shared" si="67"/>
        <v>CT</v>
      </c>
      <c r="G686" t="str">
        <f>"06511"</f>
        <v>06511</v>
      </c>
      <c r="H686" t="str">
        <f>"2037777809"</f>
        <v>2037777809</v>
      </c>
      <c r="I686" t="str">
        <f t="shared" si="68"/>
        <v>ENGLISH</v>
      </c>
    </row>
    <row r="687" spans="1:9" x14ac:dyDescent="0.3">
      <c r="A687" t="str">
        <f>"WALGREEN SPECIALTY PHARMACY #16486"</f>
        <v>WALGREEN SPECIALTY PHARMACY #16486</v>
      </c>
      <c r="B687" t="str">
        <f t="shared" si="66"/>
        <v>Pharmacy</v>
      </c>
      <c r="C687" t="str">
        <f>"398 BELMONT  STE  # A"</f>
        <v>398 BELMONT  STE  # A</v>
      </c>
      <c r="D687" t="str">
        <f>""</f>
        <v/>
      </c>
      <c r="E687" t="str">
        <f>"WORCHESTER"</f>
        <v>WORCHESTER</v>
      </c>
      <c r="F687" t="str">
        <f>"MA"</f>
        <v>MA</v>
      </c>
      <c r="G687" t="str">
        <f>"01604"</f>
        <v>01604</v>
      </c>
      <c r="H687" t="str">
        <f>"5087130149"</f>
        <v>5087130149</v>
      </c>
      <c r="I687" t="str">
        <f t="shared" si="68"/>
        <v>ENGLISH</v>
      </c>
    </row>
    <row r="688" spans="1:9" x14ac:dyDescent="0.3">
      <c r="A688" t="str">
        <f>"WALGREEN SPECIALTY PHARMACY #16548"</f>
        <v>WALGREEN SPECIALTY PHARMACY #16548</v>
      </c>
      <c r="B688" t="str">
        <f t="shared" si="66"/>
        <v>Pharmacy</v>
      </c>
      <c r="C688" t="str">
        <f>"300 FAIRFIELD AVE"</f>
        <v>300 FAIRFIELD AVE</v>
      </c>
      <c r="D688" t="str">
        <f>"SUITE 103"</f>
        <v>SUITE 103</v>
      </c>
      <c r="E688" t="str">
        <f>"BRIDGEPORT"</f>
        <v>BRIDGEPORT</v>
      </c>
      <c r="F688" t="str">
        <f>"CT"</f>
        <v>CT</v>
      </c>
      <c r="G688" t="str">
        <f>"06604"</f>
        <v>06604</v>
      </c>
      <c r="H688" t="str">
        <f>"2039230054"</f>
        <v>2039230054</v>
      </c>
      <c r="I688" t="str">
        <f t="shared" si="68"/>
        <v>ENGLISH</v>
      </c>
    </row>
    <row r="689" spans="1:9" x14ac:dyDescent="0.3">
      <c r="A689" t="str">
        <f>"WALGREEN SPECIALTY PHARMACY #21179"</f>
        <v>WALGREEN SPECIALTY PHARMACY #21179</v>
      </c>
      <c r="B689" t="str">
        <f t="shared" si="66"/>
        <v>Pharmacy</v>
      </c>
      <c r="C689" t="str">
        <f>"25 MERRIMACK ST"</f>
        <v>25 MERRIMACK ST</v>
      </c>
      <c r="D689" t="str">
        <f>""</f>
        <v/>
      </c>
      <c r="E689" t="str">
        <f>"LOWELL"</f>
        <v>LOWELL</v>
      </c>
      <c r="F689" t="str">
        <f>"MA"</f>
        <v>MA</v>
      </c>
      <c r="G689" t="str">
        <f>"01852"</f>
        <v>01852</v>
      </c>
      <c r="H689" t="str">
        <f>"9786062537"</f>
        <v>9786062537</v>
      </c>
      <c r="I689" t="str">
        <f t="shared" si="68"/>
        <v>ENGLISH</v>
      </c>
    </row>
    <row r="690" spans="1:9" x14ac:dyDescent="0.3">
      <c r="A690" t="str">
        <f>"WALGREEN SPECIALTY PHARMACY #21180"</f>
        <v>WALGREEN SPECIALTY PHARMACY #21180</v>
      </c>
      <c r="B690" t="str">
        <f t="shared" si="66"/>
        <v>Pharmacy</v>
      </c>
      <c r="C690" t="str">
        <f>"60 BANK ST . STE 100"</f>
        <v>60 BANK ST . STE 100</v>
      </c>
      <c r="D690" t="str">
        <f>""</f>
        <v/>
      </c>
      <c r="E690" t="str">
        <f>"WATERBURY"</f>
        <v>WATERBURY</v>
      </c>
      <c r="F690" t="str">
        <f t="shared" ref="F690:F711" si="70">"CT"</f>
        <v>CT</v>
      </c>
      <c r="G690" t="str">
        <f>"06702"</f>
        <v>06702</v>
      </c>
      <c r="H690" t="str">
        <f>"2037531116"</f>
        <v>2037531116</v>
      </c>
      <c r="I690" t="str">
        <f t="shared" si="68"/>
        <v>ENGLISH</v>
      </c>
    </row>
    <row r="691" spans="1:9" x14ac:dyDescent="0.3">
      <c r="A691" t="str">
        <f>"WALGREEN SPECIALTY PHARMACY #21185"</f>
        <v>WALGREEN SPECIALTY PHARMACY #21185</v>
      </c>
      <c r="B691" t="str">
        <f t="shared" si="66"/>
        <v>Pharmacy</v>
      </c>
      <c r="C691" t="str">
        <f>"100 RETREAT AVE"</f>
        <v>100 RETREAT AVE</v>
      </c>
      <c r="D691" t="str">
        <f>"STE 102B"</f>
        <v>STE 102B</v>
      </c>
      <c r="E691" t="str">
        <f>"HARTFORD"</f>
        <v>HARTFORD</v>
      </c>
      <c r="F691" t="str">
        <f t="shared" si="70"/>
        <v>CT</v>
      </c>
      <c r="G691" t="str">
        <f>"06106"</f>
        <v>06106</v>
      </c>
      <c r="H691" t="str">
        <f>"8605951813"</f>
        <v>8605951813</v>
      </c>
      <c r="I691" t="str">
        <f t="shared" si="68"/>
        <v>ENGLISH</v>
      </c>
    </row>
    <row r="692" spans="1:9" x14ac:dyDescent="0.3">
      <c r="A692" t="str">
        <f>"WALGREENS #11620"</f>
        <v>WALGREENS #11620</v>
      </c>
      <c r="B692" t="str">
        <f t="shared" si="66"/>
        <v>Pharmacy</v>
      </c>
      <c r="C692" t="str">
        <f>"1203 HIGH RIDGE RD"</f>
        <v>1203 HIGH RIDGE RD</v>
      </c>
      <c r="D692" t="str">
        <f>""</f>
        <v/>
      </c>
      <c r="E692" t="str">
        <f>"STAMFORD"</f>
        <v>STAMFORD</v>
      </c>
      <c r="F692" t="str">
        <f t="shared" si="70"/>
        <v>CT</v>
      </c>
      <c r="G692" t="str">
        <f>"06905"</f>
        <v>06905</v>
      </c>
      <c r="H692" t="str">
        <f>"2033227669"</f>
        <v>2033227669</v>
      </c>
      <c r="I692" t="str">
        <f t="shared" si="68"/>
        <v>ENGLISH</v>
      </c>
    </row>
    <row r="693" spans="1:9" x14ac:dyDescent="0.3">
      <c r="A693" t="str">
        <f>"WALGREENS #11919"</f>
        <v>WALGREENS #11919</v>
      </c>
      <c r="B693" t="str">
        <f t="shared" si="66"/>
        <v>Pharmacy</v>
      </c>
      <c r="C693" t="str">
        <f>"1630 BOSTON TPKE"</f>
        <v>1630 BOSTON TPKE</v>
      </c>
      <c r="D693" t="str">
        <f>""</f>
        <v/>
      </c>
      <c r="E693" t="str">
        <f>"COVENTRY"</f>
        <v>COVENTRY</v>
      </c>
      <c r="F693" t="str">
        <f t="shared" si="70"/>
        <v>CT</v>
      </c>
      <c r="G693" t="str">
        <f>"06238"</f>
        <v>06238</v>
      </c>
      <c r="H693" t="str">
        <f>"8607425389"</f>
        <v>8607425389</v>
      </c>
      <c r="I693" t="str">
        <f t="shared" si="68"/>
        <v>ENGLISH</v>
      </c>
    </row>
    <row r="694" spans="1:9" x14ac:dyDescent="0.3">
      <c r="A694" t="str">
        <f>"WALGREENS EASTERN CO   INC"</f>
        <v>WALGREENS EASTERN CO   INC</v>
      </c>
      <c r="B694" t="str">
        <f t="shared" si="66"/>
        <v>Pharmacy</v>
      </c>
      <c r="C694" t="str">
        <f>"540 BUSHY HILL ROAD"</f>
        <v>540 BUSHY HILL ROAD</v>
      </c>
      <c r="D694" t="str">
        <f>""</f>
        <v/>
      </c>
      <c r="E694" t="str">
        <f>"SIMSBURY"</f>
        <v>SIMSBURY</v>
      </c>
      <c r="F694" t="str">
        <f t="shared" si="70"/>
        <v>CT</v>
      </c>
      <c r="G694" t="str">
        <f>"06070"</f>
        <v>06070</v>
      </c>
      <c r="H694" t="str">
        <f>"8606580479"</f>
        <v>8606580479</v>
      </c>
      <c r="I694" t="str">
        <f t="shared" si="68"/>
        <v>ENGLISH</v>
      </c>
    </row>
    <row r="695" spans="1:9" x14ac:dyDescent="0.3">
      <c r="A695" t="str">
        <f>"WALMART STORES EAST LP"</f>
        <v>WALMART STORES EAST LP</v>
      </c>
      <c r="B695" t="str">
        <f t="shared" si="66"/>
        <v>Pharmacy</v>
      </c>
      <c r="C695" t="str">
        <f>"180 RIVER RD"</f>
        <v>180 RIVER RD</v>
      </c>
      <c r="D695" t="str">
        <f>"WALMART PHARMACY 10-2854"</f>
        <v>WALMART PHARMACY 10-2854</v>
      </c>
      <c r="E695" t="str">
        <f>"LISBON"</f>
        <v>LISBON</v>
      </c>
      <c r="F695" t="str">
        <f t="shared" si="70"/>
        <v>CT</v>
      </c>
      <c r="G695" t="str">
        <f>"06351"</f>
        <v>06351</v>
      </c>
      <c r="H695" t="str">
        <f>"8603760132"</f>
        <v>8603760132</v>
      </c>
      <c r="I695" t="str">
        <f>"CHINESE;ENGLISH;POLISH;PORTUGUESE;RUSSIAN;SPANISH"</f>
        <v>CHINESE;ENGLISH;POLISH;PORTUGUESE;RUSSIAN;SPANISH</v>
      </c>
    </row>
    <row r="696" spans="1:9" x14ac:dyDescent="0.3">
      <c r="A696" t="str">
        <f>"WALMART STORES EAST LP"</f>
        <v>WALMART STORES EAST LP</v>
      </c>
      <c r="B696" t="str">
        <f t="shared" si="66"/>
        <v>Pharmacy</v>
      </c>
      <c r="C696" t="str">
        <f>"474 BOSTON POST RD"</f>
        <v>474 BOSTON POST RD</v>
      </c>
      <c r="D696" t="str">
        <f>"WALMART PHARMACY 10-2022"</f>
        <v>WALMART PHARMACY 10-2022</v>
      </c>
      <c r="E696" t="str">
        <f>"NORTH WINDHAM"</f>
        <v>NORTH WINDHAM</v>
      </c>
      <c r="F696" t="str">
        <f t="shared" si="70"/>
        <v>CT</v>
      </c>
      <c r="G696" t="str">
        <f>"06256"</f>
        <v>06256</v>
      </c>
      <c r="H696" t="str">
        <f>"8604562126"</f>
        <v>8604562126</v>
      </c>
      <c r="I696" t="str">
        <f>"CHINESE;ENGLISH;POLISH;PORTUGUESE;RUSSIAN;SPANISH"</f>
        <v>CHINESE;ENGLISH;POLISH;PORTUGUESE;RUSSIAN;SPANISH</v>
      </c>
    </row>
    <row r="697" spans="1:9" x14ac:dyDescent="0.3">
      <c r="A697" t="str">
        <f>"WALMART STORES EAST LP DBA WALMART PHARMACY 10217"</f>
        <v>WALMART STORES EAST LP DBA WALMART PHARMACY 10217</v>
      </c>
      <c r="B697" t="str">
        <f t="shared" si="66"/>
        <v>Pharmacy</v>
      </c>
      <c r="C697" t="str">
        <f>"220 SALEM TURNPIKE"</f>
        <v>220 SALEM TURNPIKE</v>
      </c>
      <c r="D697" t="str">
        <f>"WALMART PHARMACY 10-2170"</f>
        <v>WALMART PHARMACY 10-2170</v>
      </c>
      <c r="E697" t="str">
        <f>"NORWICH"</f>
        <v>NORWICH</v>
      </c>
      <c r="F697" t="str">
        <f t="shared" si="70"/>
        <v>CT</v>
      </c>
      <c r="G697" t="str">
        <f>"06360"</f>
        <v>06360</v>
      </c>
      <c r="H697" t="str">
        <f>"8608897530"</f>
        <v>8608897530</v>
      </c>
      <c r="I697" t="str">
        <f>"CHINESE;ENGLISH;POLISH;PORTUGUESE;RUSSIAN;SPANISH"</f>
        <v>CHINESE;ENGLISH;POLISH;PORTUGUESE;RUSSIAN;SPANISH</v>
      </c>
    </row>
    <row r="698" spans="1:9" x14ac:dyDescent="0.3">
      <c r="A698" t="str">
        <f>"WALMART STORES EAST, LP"</f>
        <v>WALMART STORES EAST, LP</v>
      </c>
      <c r="B698" t="str">
        <f t="shared" si="66"/>
        <v>Pharmacy</v>
      </c>
      <c r="C698" t="str">
        <f>"315 FOXON BLVD"</f>
        <v>315 FOXON BLVD</v>
      </c>
      <c r="D698" t="str">
        <f>"WALMART PHARMACY 10-5439"</f>
        <v>WALMART PHARMACY 10-5439</v>
      </c>
      <c r="E698" t="str">
        <f>"NEW HAVEN"</f>
        <v>NEW HAVEN</v>
      </c>
      <c r="F698" t="str">
        <f t="shared" si="70"/>
        <v>CT</v>
      </c>
      <c r="G698" t="str">
        <f>"06513"</f>
        <v>06513</v>
      </c>
      <c r="H698" t="str">
        <f>"2034677637"</f>
        <v>2034677637</v>
      </c>
      <c r="I698" t="str">
        <f>"CHINESE;ENGLISH;POLISH;PORTUGUESE;RUSSIAN;SPANISH"</f>
        <v>CHINESE;ENGLISH;POLISH;PORTUGUESE;RUSSIAN;SPANISH</v>
      </c>
    </row>
    <row r="699" spans="1:9" x14ac:dyDescent="0.3">
      <c r="A699" t="str">
        <f>"WASHINGTON PHARMACY INC"</f>
        <v>WASHINGTON PHARMACY INC</v>
      </c>
      <c r="B699" t="str">
        <f t="shared" si="66"/>
        <v>Pharmacy</v>
      </c>
      <c r="C699" t="str">
        <f>"117 WASHINGTON AVE"</f>
        <v>117 WASHINGTON AVE</v>
      </c>
      <c r="D699" t="str">
        <f>""</f>
        <v/>
      </c>
      <c r="E699" t="str">
        <f>"NORTH HAVEN"</f>
        <v>NORTH HAVEN</v>
      </c>
      <c r="F699" t="str">
        <f t="shared" si="70"/>
        <v>CT</v>
      </c>
      <c r="G699" t="str">
        <f>"06473"</f>
        <v>06473</v>
      </c>
      <c r="H699" t="str">
        <f>"2035132225"</f>
        <v>2035132225</v>
      </c>
      <c r="I699" t="str">
        <f>"ARABIC;ENGLISH;SPANISH"</f>
        <v>ARABIC;ENGLISH;SPANISH</v>
      </c>
    </row>
    <row r="700" spans="1:9" x14ac:dyDescent="0.3">
      <c r="A700" t="str">
        <f>"WASSEF LLC"</f>
        <v>WASSEF LLC</v>
      </c>
      <c r="B700" t="str">
        <f t="shared" si="66"/>
        <v>Pharmacy</v>
      </c>
      <c r="C700" t="str">
        <f>"535 BOSTON POST RD"</f>
        <v>535 BOSTON POST RD</v>
      </c>
      <c r="D700" t="str">
        <f>""</f>
        <v/>
      </c>
      <c r="E700" t="str">
        <f>"OLD SAYBROOK"</f>
        <v>OLD SAYBROOK</v>
      </c>
      <c r="F700" t="str">
        <f t="shared" si="70"/>
        <v>CT</v>
      </c>
      <c r="G700" t="str">
        <f>"06475"</f>
        <v>06475</v>
      </c>
      <c r="H700" t="str">
        <f>"8603395667"</f>
        <v>8603395667</v>
      </c>
      <c r="I700" t="str">
        <f>"ENGLISH;SPANISH"</f>
        <v>ENGLISH;SPANISH</v>
      </c>
    </row>
    <row r="701" spans="1:9" x14ac:dyDescent="0.3">
      <c r="A701" t="str">
        <f>"WATERBURY PHARMACY"</f>
        <v>WATERBURY PHARMACY</v>
      </c>
      <c r="B701" t="str">
        <f t="shared" si="66"/>
        <v>Pharmacy</v>
      </c>
      <c r="C701" t="str">
        <f>"187 E MAIN STREET"</f>
        <v>187 E MAIN STREET</v>
      </c>
      <c r="D701" t="str">
        <f>""</f>
        <v/>
      </c>
      <c r="E701" t="str">
        <f>"WATERBURY"</f>
        <v>WATERBURY</v>
      </c>
      <c r="F701" t="str">
        <f t="shared" si="70"/>
        <v>CT</v>
      </c>
      <c r="G701" t="str">
        <f>"06702"</f>
        <v>06702</v>
      </c>
      <c r="H701" t="str">
        <f>"2037572000"</f>
        <v>2037572000</v>
      </c>
      <c r="I701" t="str">
        <f>"ENGLISH;SPANISH"</f>
        <v>ENGLISH;SPANISH</v>
      </c>
    </row>
    <row r="702" spans="1:9" x14ac:dyDescent="0.3">
      <c r="A702" t="str">
        <f>"WAVERLY MARKETS OF VERNON LLC"</f>
        <v>WAVERLY MARKETS OF VERNON LLC</v>
      </c>
      <c r="B702" t="str">
        <f t="shared" si="66"/>
        <v>Pharmacy</v>
      </c>
      <c r="C702" t="str">
        <f>"35 TALCOTTVILLE RD."</f>
        <v>35 TALCOTTVILLE RD.</v>
      </c>
      <c r="D702" t="str">
        <f>""</f>
        <v/>
      </c>
      <c r="E702" t="str">
        <f>"VERNON"</f>
        <v>VERNON</v>
      </c>
      <c r="F702" t="str">
        <f t="shared" si="70"/>
        <v>CT</v>
      </c>
      <c r="G702" t="str">
        <f>"06066"</f>
        <v>06066</v>
      </c>
      <c r="H702" t="str">
        <f>"8608728961"</f>
        <v>8608728961</v>
      </c>
      <c r="I702" t="str">
        <f>"ENGLISH"</f>
        <v>ENGLISH</v>
      </c>
    </row>
    <row r="703" spans="1:9" x14ac:dyDescent="0.3">
      <c r="A703" t="str">
        <f>"WAVERLY MARKETS, LLC D/B/A SHOPRITE PHARMACY"</f>
        <v>WAVERLY MARKETS, LLC D/B/A SHOPRITE PHARMACY</v>
      </c>
      <c r="B703" t="str">
        <f t="shared" si="66"/>
        <v>Pharmacy</v>
      </c>
      <c r="C703" t="str">
        <f>"214 SPENCER ST"</f>
        <v>214 SPENCER ST</v>
      </c>
      <c r="D703" t="str">
        <f>""</f>
        <v/>
      </c>
      <c r="E703" t="str">
        <f>"MANCHESTER"</f>
        <v>MANCHESTER</v>
      </c>
      <c r="F703" t="str">
        <f t="shared" si="70"/>
        <v>CT</v>
      </c>
      <c r="G703" t="str">
        <f>"06040"</f>
        <v>06040</v>
      </c>
      <c r="H703" t="str">
        <f>"8606453240"</f>
        <v>8606453240</v>
      </c>
      <c r="I703" t="str">
        <f>"ENGLISH"</f>
        <v>ENGLISH</v>
      </c>
    </row>
    <row r="704" spans="1:9" x14ac:dyDescent="0.3">
      <c r="A704" t="str">
        <f>"WEST HARTFORD APOTHECARY LLC"</f>
        <v>WEST HARTFORD APOTHECARY LLC</v>
      </c>
      <c r="B704" t="str">
        <f t="shared" si="66"/>
        <v>Pharmacy</v>
      </c>
      <c r="C704" t="str">
        <f>"994 FARMINGTON AVE STE 5"</f>
        <v>994 FARMINGTON AVE STE 5</v>
      </c>
      <c r="D704" t="str">
        <f>""</f>
        <v/>
      </c>
      <c r="E704" t="str">
        <f>"WEST HARTFORD"</f>
        <v>WEST HARTFORD</v>
      </c>
      <c r="F704" t="str">
        <f t="shared" si="70"/>
        <v>CT</v>
      </c>
      <c r="G704" t="str">
        <f>"06107"</f>
        <v>06107</v>
      </c>
      <c r="H704" t="str">
        <f>"8609046063"</f>
        <v>8609046063</v>
      </c>
      <c r="I704" t="str">
        <f>"ENGLISH"</f>
        <v>ENGLISH</v>
      </c>
    </row>
    <row r="705" spans="1:9" x14ac:dyDescent="0.3">
      <c r="A705" t="str">
        <f>"WEST HAVEN PHARMACY"</f>
        <v>WEST HAVEN PHARMACY</v>
      </c>
      <c r="B705" t="str">
        <f t="shared" si="66"/>
        <v>Pharmacy</v>
      </c>
      <c r="C705" t="str">
        <f>"764 CAMPBELL AVE"</f>
        <v>764 CAMPBELL AVE</v>
      </c>
      <c r="D705" t="str">
        <f>"UNIT -A"</f>
        <v>UNIT -A</v>
      </c>
      <c r="E705" t="str">
        <f>"WEST HAVEN"</f>
        <v>WEST HAVEN</v>
      </c>
      <c r="F705" t="str">
        <f t="shared" si="70"/>
        <v>CT</v>
      </c>
      <c r="G705" t="str">
        <f>"06516"</f>
        <v>06516</v>
      </c>
      <c r="H705" t="str">
        <f>"2039347100"</f>
        <v>2039347100</v>
      </c>
      <c r="I705" t="str">
        <f>"ENGLISH;SPANISH"</f>
        <v>ENGLISH;SPANISH</v>
      </c>
    </row>
    <row r="706" spans="1:9" x14ac:dyDescent="0.3">
      <c r="A706" t="str">
        <f>"WEST RX INC"</f>
        <v>WEST RX INC</v>
      </c>
      <c r="B706" t="str">
        <f t="shared" ref="B706:B711" si="71">"Pharmacy"</f>
        <v>Pharmacy</v>
      </c>
      <c r="C706" t="str">
        <f>"455 HARTFORD RD"</f>
        <v>455 HARTFORD RD</v>
      </c>
      <c r="D706" t="str">
        <f>""</f>
        <v/>
      </c>
      <c r="E706" t="str">
        <f>"MANCHESTER"</f>
        <v>MANCHESTER</v>
      </c>
      <c r="F706" t="str">
        <f t="shared" si="70"/>
        <v>CT</v>
      </c>
      <c r="G706" t="str">
        <f>"06040"</f>
        <v>06040</v>
      </c>
      <c r="H706" t="str">
        <f>"8606499946"</f>
        <v>8606499946</v>
      </c>
      <c r="I706" t="str">
        <f>"ENGLISH;SPANISH;TELUGU"</f>
        <v>ENGLISH;SPANISH;TELUGU</v>
      </c>
    </row>
    <row r="707" spans="1:9" x14ac:dyDescent="0.3">
      <c r="A707" t="str">
        <f>"WESTON PHARMACY LLC"</f>
        <v>WESTON PHARMACY LLC</v>
      </c>
      <c r="B707" t="str">
        <f t="shared" si="71"/>
        <v>Pharmacy</v>
      </c>
      <c r="C707" t="str">
        <f>"WESTON SHOPPING CENTER"</f>
        <v>WESTON SHOPPING CENTER</v>
      </c>
      <c r="D707" t="str">
        <f>"190 WESTON RD"</f>
        <v>190 WESTON RD</v>
      </c>
      <c r="E707" t="str">
        <f>"WESTON"</f>
        <v>WESTON</v>
      </c>
      <c r="F707" t="str">
        <f t="shared" si="70"/>
        <v>CT</v>
      </c>
      <c r="G707" t="str">
        <f>"06883"</f>
        <v>06883</v>
      </c>
      <c r="H707" t="str">
        <f>"2035576310"</f>
        <v>2035576310</v>
      </c>
      <c r="I707" t="str">
        <f>"ENGLISH"</f>
        <v>ENGLISH</v>
      </c>
    </row>
    <row r="708" spans="1:9" x14ac:dyDescent="0.3">
      <c r="A708" t="str">
        <f>"WESTPORT APOTHECARY LLC"</f>
        <v>WESTPORT APOTHECARY LLC</v>
      </c>
      <c r="B708" t="str">
        <f t="shared" si="71"/>
        <v>Pharmacy</v>
      </c>
      <c r="C708" t="str">
        <f>"125 POST ROAD EAST"</f>
        <v>125 POST ROAD EAST</v>
      </c>
      <c r="D708" t="str">
        <f>""</f>
        <v/>
      </c>
      <c r="E708" t="str">
        <f>"WESTPORT"</f>
        <v>WESTPORT</v>
      </c>
      <c r="F708" t="str">
        <f t="shared" si="70"/>
        <v>CT</v>
      </c>
      <c r="G708" t="str">
        <f>"06880"</f>
        <v>06880</v>
      </c>
      <c r="H708" t="str">
        <f>"2032268888"</f>
        <v>2032268888</v>
      </c>
      <c r="I708" t="str">
        <f>"ENGLISH"</f>
        <v>ENGLISH</v>
      </c>
    </row>
    <row r="709" spans="1:9" x14ac:dyDescent="0.3">
      <c r="A709" t="str">
        <f>"WESTPORT PHARMACY LLC"</f>
        <v>WESTPORT PHARMACY LLC</v>
      </c>
      <c r="B709" t="str">
        <f t="shared" si="71"/>
        <v>Pharmacy</v>
      </c>
      <c r="C709" t="str">
        <f>"1260 POST RD E"</f>
        <v>1260 POST RD E</v>
      </c>
      <c r="D709" t="str">
        <f>""</f>
        <v/>
      </c>
      <c r="E709" t="str">
        <f>"WESTPORT"</f>
        <v>WESTPORT</v>
      </c>
      <c r="F709" t="str">
        <f t="shared" si="70"/>
        <v>CT</v>
      </c>
      <c r="G709" t="str">
        <f>"06880"</f>
        <v>06880</v>
      </c>
      <c r="H709" t="str">
        <f>"2032930005"</f>
        <v>2032930005</v>
      </c>
      <c r="I709" t="str">
        <f>"ENGLISH;PORTUGUESE"</f>
        <v>ENGLISH;PORTUGUESE</v>
      </c>
    </row>
    <row r="710" spans="1:9" x14ac:dyDescent="0.3">
      <c r="A710" t="str">
        <f>"WOLCOTT PHARMACY"</f>
        <v>WOLCOTT PHARMACY</v>
      </c>
      <c r="B710" t="str">
        <f t="shared" si="71"/>
        <v>Pharmacy</v>
      </c>
      <c r="C710" t="str">
        <f>"504 WOLCOTT RD"</f>
        <v>504 WOLCOTT RD</v>
      </c>
      <c r="D710" t="str">
        <f>""</f>
        <v/>
      </c>
      <c r="E710" t="str">
        <f>"WOLCOTT"</f>
        <v>WOLCOTT</v>
      </c>
      <c r="F710" t="str">
        <f t="shared" si="70"/>
        <v>CT</v>
      </c>
      <c r="G710" t="str">
        <f>"06716"</f>
        <v>06716</v>
      </c>
      <c r="H710" t="str">
        <f>"4757390090"</f>
        <v>4757390090</v>
      </c>
      <c r="I710" t="str">
        <f>"ENGLISH;SPANISH"</f>
        <v>ENGLISH;SPANISH</v>
      </c>
    </row>
    <row r="711" spans="1:9" x14ac:dyDescent="0.3">
      <c r="A711" t="str">
        <f>"WOODMARK PHARMACY"</f>
        <v>WOODMARK PHARMACY</v>
      </c>
      <c r="B711" t="str">
        <f t="shared" si="71"/>
        <v>Pharmacy</v>
      </c>
      <c r="C711" t="str">
        <f>"41 NORTHWEST DRIVE"</f>
        <v>41 NORTHWEST DRIVE</v>
      </c>
      <c r="D711" t="str">
        <f>""</f>
        <v/>
      </c>
      <c r="E711" t="str">
        <f>"PLAINVILLE"</f>
        <v>PLAINVILLE</v>
      </c>
      <c r="F711" t="str">
        <f t="shared" si="70"/>
        <v>CT</v>
      </c>
      <c r="G711" t="str">
        <f>"06062"</f>
        <v>06062</v>
      </c>
      <c r="H711" t="str">
        <f>"7162606936"</f>
        <v>7162606936</v>
      </c>
      <c r="I711" t="str">
        <f>"ENGLISH"</f>
        <v>ENGLISH</v>
      </c>
    </row>
  </sheetData>
  <autoFilter ref="A1:I1" xr:uid="{F37091EE-80A3-436A-A3DA-8A2CE4057025}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c35869-6495-4b3a-952e-bc5e37f13032}" enabled="1" method="Standard" siteId="{c663f89c-ef9b-418f-bd3d-41e46c0ce0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Pharmacy_Provider_Directory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Pausmer, Susan</cp:lastModifiedBy>
  <dcterms:created xsi:type="dcterms:W3CDTF">2026-02-24T21:01:06Z</dcterms:created>
  <dcterms:modified xsi:type="dcterms:W3CDTF">2026-02-24T21:06:18Z</dcterms:modified>
</cp:coreProperties>
</file>